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5\02.Fevereiro25\Sub-rogação\"/>
    </mc:Choice>
  </mc:AlternateContent>
  <xr:revisionPtr revIDLastSave="0" documentId="13_ncr:1_{C75F5779-8376-41B3-8662-D884AA635371}" xr6:coauthVersionLast="47" xr6:coauthVersionMax="47" xr10:uidLastSave="{00000000-0000-0000-0000-000000000000}"/>
  <bookViews>
    <workbookView xWindow="-110" yWindow="-110" windowWidth="19420" windowHeight="10300" xr2:uid="{FEFC86EE-4C3D-4907-BEC7-47C5F33CDDA4}"/>
  </bookViews>
  <sheets>
    <sheet name="Resumo" sheetId="3" r:id="rId1"/>
    <sheet name="REA_7385" sheetId="1" r:id="rId2"/>
    <sheet name="REA_7408" sheetId="4" r:id="rId3"/>
    <sheet name="REA_7409" sheetId="5" r:id="rId4"/>
    <sheet name="REA_10630" sheetId="7" r:id="rId5"/>
    <sheet name="REA_10630_Fornecedores" sheetId="8" r:id="rId6"/>
  </sheets>
  <definedNames>
    <definedName name="_xlnm._FilterDatabase" localSheetId="4" hidden="1">REA_10630!$A$12:$T$50</definedName>
    <definedName name="_xlnm._FilterDatabase" localSheetId="5" hidden="1">REA_10630_Fornecedores!$B$12:$AJ$59</definedName>
    <definedName name="_xlnm._FilterDatabase" localSheetId="1" hidden="1">REA_7385!$B$8:$L$65</definedName>
    <definedName name="_xlnm._FilterDatabase" localSheetId="2" hidden="1">REA_7408!$B$9:$AL$31</definedName>
    <definedName name="_xlnm._FilterDatabase" localSheetId="3" hidden="1">REA_7409!$B$9:$X$14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3" l="1"/>
  <c r="H77" i="3"/>
  <c r="G77" i="3"/>
  <c r="F77" i="3"/>
  <c r="E77" i="3"/>
  <c r="D77" i="3"/>
  <c r="C77" i="3"/>
  <c r="C75" i="3"/>
  <c r="I75" i="3" s="1"/>
  <c r="D75" i="3"/>
  <c r="E75" i="3"/>
  <c r="F75" i="3"/>
  <c r="G75" i="3"/>
  <c r="H75" i="3"/>
  <c r="E77" i="8"/>
  <c r="J49" i="7"/>
  <c r="I49" i="7"/>
  <c r="G49" i="7"/>
  <c r="F49" i="7"/>
  <c r="E74" i="8"/>
  <c r="X31" i="5"/>
  <c r="W31" i="5"/>
  <c r="W30" i="5"/>
  <c r="X30" i="5" s="1"/>
  <c r="W29" i="5"/>
  <c r="E76" i="8"/>
  <c r="F48" i="7"/>
  <c r="W28" i="5"/>
  <c r="E75" i="8"/>
  <c r="F47" i="7"/>
  <c r="F46" i="7"/>
  <c r="F45" i="7"/>
  <c r="W27" i="5"/>
  <c r="H76" i="3"/>
  <c r="E73" i="8"/>
  <c r="W26" i="5"/>
  <c r="W25" i="5"/>
  <c r="E72" i="8"/>
  <c r="E71" i="8"/>
  <c r="F44" i="7"/>
  <c r="E70" i="8"/>
  <c r="F43" i="7"/>
  <c r="W24" i="5" l="1"/>
  <c r="E69" i="8"/>
  <c r="W23" i="5"/>
  <c r="E68" i="8"/>
  <c r="F42" i="7"/>
  <c r="G76" i="3"/>
  <c r="C76" i="3"/>
  <c r="D76" i="3"/>
  <c r="E76" i="3"/>
  <c r="F76" i="3"/>
  <c r="E67" i="8"/>
  <c r="F41" i="7" l="1"/>
  <c r="E66" i="8"/>
  <c r="W22" i="5"/>
  <c r="E65" i="8"/>
  <c r="J40" i="7"/>
  <c r="I40" i="7"/>
  <c r="F40" i="7"/>
  <c r="AK33" i="4"/>
  <c r="E64" i="8"/>
  <c r="W21" i="5"/>
  <c r="E63" i="8"/>
  <c r="J39" i="7"/>
  <c r="I39" i="7"/>
  <c r="F39" i="7"/>
  <c r="F37" i="7"/>
  <c r="E62" i="8"/>
  <c r="F38" i="7"/>
  <c r="E61" i="8"/>
  <c r="E60" i="8"/>
  <c r="J36" i="7"/>
  <c r="I36" i="7"/>
  <c r="F36" i="7"/>
  <c r="E59" i="8"/>
  <c r="F35" i="7"/>
  <c r="E57" i="8"/>
  <c r="E58" i="8"/>
  <c r="F34" i="7"/>
  <c r="F33" i="7"/>
  <c r="E55" i="8"/>
  <c r="F31" i="7"/>
  <c r="AK32" i="4"/>
  <c r="AK30" i="4"/>
  <c r="E56" i="8"/>
  <c r="F32" i="7"/>
  <c r="AK31" i="4" l="1"/>
  <c r="W20" i="5"/>
  <c r="W19" i="5" l="1"/>
  <c r="AK28" i="4"/>
  <c r="L86" i="1"/>
  <c r="K86" i="1"/>
  <c r="E54" i="8"/>
  <c r="E53" i="8"/>
  <c r="AK29" i="4"/>
  <c r="E46" i="8" l="1"/>
  <c r="F30" i="7"/>
  <c r="E45" i="8" l="1"/>
  <c r="J29" i="7"/>
  <c r="I29" i="7"/>
  <c r="F27" i="7"/>
  <c r="F29" i="7"/>
  <c r="AK26" i="4"/>
  <c r="AK27" i="4"/>
  <c r="E38" i="8"/>
  <c r="E44" i="8" l="1"/>
  <c r="F28" i="7"/>
  <c r="E43" i="8"/>
  <c r="E42" i="8"/>
  <c r="E41" i="8"/>
  <c r="E40" i="8"/>
  <c r="E39" i="8"/>
  <c r="AK25" i="4" l="1"/>
  <c r="AK24" i="4"/>
  <c r="K85" i="1"/>
  <c r="E52" i="8" l="1"/>
  <c r="E51" i="8"/>
  <c r="E37" i="8"/>
  <c r="F26" i="7"/>
  <c r="E36" i="8" l="1"/>
  <c r="F25" i="7"/>
  <c r="H8" i="3"/>
  <c r="G8" i="3"/>
  <c r="F8" i="3"/>
  <c r="E35" i="8"/>
  <c r="E50" i="8"/>
  <c r="J24" i="7"/>
  <c r="I24" i="7"/>
  <c r="F24" i="7"/>
  <c r="E34" i="8"/>
  <c r="AK23" i="4"/>
  <c r="E33" i="8"/>
  <c r="E32" i="8"/>
  <c r="E31" i="8"/>
  <c r="AK22" i="4"/>
  <c r="AK21" i="4"/>
  <c r="K84" i="1"/>
  <c r="E47" i="8"/>
  <c r="H9" i="3" l="1"/>
  <c r="H10" i="3" s="1"/>
  <c r="H11" i="3" s="1"/>
  <c r="H12" i="3" s="1"/>
  <c r="F9" i="3"/>
  <c r="F10" i="3" s="1"/>
  <c r="G9" i="3"/>
  <c r="G10" i="3" s="1"/>
  <c r="G11" i="3" s="1"/>
  <c r="F11" i="3" l="1"/>
  <c r="G12" i="3"/>
  <c r="H13" i="3"/>
  <c r="W18" i="5"/>
  <c r="AK20" i="4"/>
  <c r="F12" i="3" l="1"/>
  <c r="G13" i="3"/>
  <c r="H14" i="3"/>
  <c r="AK19" i="4"/>
  <c r="H19" i="7"/>
  <c r="I47" i="7" l="1"/>
  <c r="J47" i="7"/>
  <c r="J48" i="7"/>
  <c r="I48" i="7"/>
  <c r="J45" i="7"/>
  <c r="I45" i="7"/>
  <c r="J43" i="7"/>
  <c r="I43" i="7"/>
  <c r="I42" i="7"/>
  <c r="J42" i="7"/>
  <c r="F13" i="3"/>
  <c r="J38" i="7"/>
  <c r="I38" i="7"/>
  <c r="I33" i="7"/>
  <c r="I35" i="7"/>
  <c r="J35" i="7"/>
  <c r="J33" i="7"/>
  <c r="J30" i="7"/>
  <c r="I30" i="7"/>
  <c r="J28" i="7"/>
  <c r="I28" i="7"/>
  <c r="J25" i="7"/>
  <c r="I25" i="7"/>
  <c r="H15" i="3"/>
  <c r="H16" i="3" s="1"/>
  <c r="G14" i="3"/>
  <c r="E27" i="8"/>
  <c r="E26" i="8"/>
  <c r="E48" i="8"/>
  <c r="E49" i="8"/>
  <c r="F14" i="3" l="1"/>
  <c r="H17" i="3"/>
  <c r="G15" i="3"/>
  <c r="I76" i="3"/>
  <c r="E30" i="8"/>
  <c r="E29" i="8"/>
  <c r="I14" i="7"/>
  <c r="I15" i="7"/>
  <c r="I16" i="7"/>
  <c r="I17" i="7"/>
  <c r="I19" i="7"/>
  <c r="I21" i="7"/>
  <c r="I23" i="7"/>
  <c r="I13" i="7"/>
  <c r="J23" i="7"/>
  <c r="F22" i="7"/>
  <c r="F23" i="7"/>
  <c r="E28" i="8"/>
  <c r="J21" i="7"/>
  <c r="F21" i="7"/>
  <c r="AK18" i="4"/>
  <c r="AK16" i="4"/>
  <c r="AK17" i="4"/>
  <c r="K83" i="1"/>
  <c r="E25" i="8"/>
  <c r="H18" i="3" l="1"/>
  <c r="F15" i="3"/>
  <c r="G16" i="3"/>
  <c r="E22" i="8"/>
  <c r="E24" i="8"/>
  <c r="AJ23" i="8"/>
  <c r="E23" i="8" s="1"/>
  <c r="F20" i="7"/>
  <c r="J19" i="7"/>
  <c r="F19" i="7"/>
  <c r="K71" i="1"/>
  <c r="E69" i="1"/>
  <c r="K82" i="1"/>
  <c r="W17" i="5"/>
  <c r="K81" i="1"/>
  <c r="H18" i="7"/>
  <c r="K50" i="7"/>
  <c r="E21" i="8"/>
  <c r="F18" i="7"/>
  <c r="F17" i="7"/>
  <c r="J17" i="7"/>
  <c r="E20" i="8"/>
  <c r="E19" i="8"/>
  <c r="F16" i="7"/>
  <c r="J16" i="7"/>
  <c r="F16" i="5"/>
  <c r="AK15" i="4"/>
  <c r="J46" i="7" l="1"/>
  <c r="I46" i="7"/>
  <c r="I44" i="7"/>
  <c r="J44" i="7"/>
  <c r="I41" i="7"/>
  <c r="J41" i="7"/>
  <c r="H19" i="3"/>
  <c r="H20" i="3" s="1"/>
  <c r="F16" i="3"/>
  <c r="J37" i="7"/>
  <c r="I37" i="7"/>
  <c r="J34" i="7"/>
  <c r="I34" i="7"/>
  <c r="I31" i="7"/>
  <c r="J32" i="7"/>
  <c r="J31" i="7"/>
  <c r="I32" i="7"/>
  <c r="J27" i="7"/>
  <c r="I27" i="7"/>
  <c r="J22" i="7"/>
  <c r="J26" i="7"/>
  <c r="I26" i="7"/>
  <c r="I22" i="7"/>
  <c r="I18" i="7"/>
  <c r="I20" i="7"/>
  <c r="J18" i="7"/>
  <c r="J20" i="7"/>
  <c r="G17" i="3"/>
  <c r="K79" i="1"/>
  <c r="K80" i="1"/>
  <c r="V16" i="5"/>
  <c r="K16" i="5"/>
  <c r="K10" i="1"/>
  <c r="W15" i="5"/>
  <c r="AK14" i="4"/>
  <c r="K78" i="1"/>
  <c r="F17" i="3" l="1"/>
  <c r="F18" i="3" s="1"/>
  <c r="F19" i="3" s="1"/>
  <c r="W16" i="5"/>
  <c r="H21" i="3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G18" i="3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K77" i="1"/>
  <c r="AK13" i="4"/>
  <c r="F20" i="3" l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W14" i="5"/>
  <c r="K76" i="1" l="1"/>
  <c r="E16" i="8" l="1"/>
  <c r="AJ18" i="8"/>
  <c r="E18" i="8" s="1"/>
  <c r="J15" i="7"/>
  <c r="F15" i="7"/>
  <c r="K75" i="1"/>
  <c r="G10" i="8"/>
  <c r="F10" i="8"/>
  <c r="E10" i="8"/>
  <c r="F42" i="3" l="1"/>
  <c r="F43" i="3" s="1"/>
  <c r="E17" i="8"/>
  <c r="E14" i="8"/>
  <c r="E15" i="8"/>
  <c r="J14" i="7"/>
  <c r="F14" i="7"/>
  <c r="AK12" i="4"/>
  <c r="W12" i="5"/>
  <c r="F44" i="3" l="1"/>
  <c r="F45" i="3" s="1"/>
  <c r="G42" i="3"/>
  <c r="H41" i="3"/>
  <c r="H42" i="3" s="1"/>
  <c r="W13" i="5"/>
  <c r="K74" i="1"/>
  <c r="F46" i="3" l="1"/>
  <c r="H43" i="3"/>
  <c r="H44" i="3" s="1"/>
  <c r="H45" i="3" s="1"/>
  <c r="G43" i="3"/>
  <c r="G10" i="7"/>
  <c r="F10" i="7"/>
  <c r="F13" i="7"/>
  <c r="F47" i="3" l="1"/>
  <c r="G44" i="3"/>
  <c r="H46" i="3"/>
  <c r="H47" i="3" s="1"/>
  <c r="H48" i="3" s="1"/>
  <c r="H49" i="3" s="1"/>
  <c r="H50" i="3" s="1"/>
  <c r="K73" i="1"/>
  <c r="K72" i="1"/>
  <c r="K70" i="1"/>
  <c r="F48" i="3" l="1"/>
  <c r="F49" i="3" s="1"/>
  <c r="F50" i="3" s="1"/>
  <c r="H51" i="3"/>
  <c r="H52" i="3" s="1"/>
  <c r="G45" i="3"/>
  <c r="G46" i="3" s="1"/>
  <c r="G47" i="3" s="1"/>
  <c r="K69" i="1"/>
  <c r="K68" i="1"/>
  <c r="K67" i="1"/>
  <c r="K66" i="1"/>
  <c r="H7" i="3"/>
  <c r="G7" i="3"/>
  <c r="F7" i="3"/>
  <c r="E7" i="3"/>
  <c r="D7" i="3"/>
  <c r="C7" i="3"/>
  <c r="E8" i="3"/>
  <c r="D8" i="3"/>
  <c r="N13" i="7"/>
  <c r="E10" i="7"/>
  <c r="F51" i="3" l="1"/>
  <c r="F52" i="3" s="1"/>
  <c r="F53" i="3" s="1"/>
  <c r="H53" i="3"/>
  <c r="G48" i="3"/>
  <c r="G49" i="3" s="1"/>
  <c r="Q13" i="7"/>
  <c r="O13" i="7"/>
  <c r="P13" i="7"/>
  <c r="G15" i="7"/>
  <c r="G14" i="7"/>
  <c r="E9" i="3"/>
  <c r="E10" i="3" s="1"/>
  <c r="E11" i="3" s="1"/>
  <c r="G13" i="7"/>
  <c r="J13" i="7" s="1"/>
  <c r="D9" i="3"/>
  <c r="N14" i="7"/>
  <c r="F54" i="3" l="1"/>
  <c r="F55" i="3" s="1"/>
  <c r="G50" i="3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T13" i="7"/>
  <c r="K14" i="7" s="1"/>
  <c r="N15" i="7"/>
  <c r="G21" i="7" s="1"/>
  <c r="G18" i="7"/>
  <c r="Q14" i="7"/>
  <c r="T14" i="7" s="1"/>
  <c r="K17" i="7" s="1"/>
  <c r="O14" i="7"/>
  <c r="R14" i="7" s="1"/>
  <c r="K16" i="7" s="1"/>
  <c r="P14" i="7"/>
  <c r="G17" i="7"/>
  <c r="G16" i="7"/>
  <c r="S13" i="7"/>
  <c r="K15" i="7" s="1"/>
  <c r="R13" i="7"/>
  <c r="K13" i="7" s="1"/>
  <c r="E12" i="3"/>
  <c r="E13" i="3" s="1"/>
  <c r="D10" i="3"/>
  <c r="H70" i="3" l="1"/>
  <c r="G51" i="3"/>
  <c r="G52" i="3" s="1"/>
  <c r="G53" i="3" s="1"/>
  <c r="G54" i="3" s="1"/>
  <c r="G55" i="3" s="1"/>
  <c r="F56" i="3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D11" i="3"/>
  <c r="G19" i="7"/>
  <c r="G20" i="7"/>
  <c r="N16" i="7"/>
  <c r="G24" i="7" s="1"/>
  <c r="S14" i="7"/>
  <c r="K18" i="7" s="1"/>
  <c r="Q15" i="7"/>
  <c r="O15" i="7"/>
  <c r="P15" i="7"/>
  <c r="E14" i="3"/>
  <c r="F74" i="3" l="1"/>
  <c r="H71" i="3"/>
  <c r="H72" i="3" s="1"/>
  <c r="H73" i="3" s="1"/>
  <c r="D12" i="3"/>
  <c r="G56" i="3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23" i="7"/>
  <c r="G22" i="7"/>
  <c r="P16" i="7"/>
  <c r="S16" i="7" s="1"/>
  <c r="K22" i="7" s="1"/>
  <c r="Q16" i="7"/>
  <c r="T16" i="7" s="1"/>
  <c r="K24" i="7" s="1"/>
  <c r="O16" i="7"/>
  <c r="R16" i="7" s="1"/>
  <c r="K23" i="7" s="1"/>
  <c r="N17" i="7"/>
  <c r="G29" i="7" s="1"/>
  <c r="S15" i="7"/>
  <c r="K20" i="7" s="1"/>
  <c r="R15" i="7"/>
  <c r="K19" i="7" s="1"/>
  <c r="T15" i="7"/>
  <c r="K21" i="7" s="1"/>
  <c r="E15" i="3"/>
  <c r="G74" i="3" l="1"/>
  <c r="H74" i="3"/>
  <c r="D13" i="3"/>
  <c r="D14" i="3" s="1"/>
  <c r="G26" i="7"/>
  <c r="G25" i="7"/>
  <c r="E16" i="3"/>
  <c r="Q17" i="7"/>
  <c r="O17" i="7"/>
  <c r="P17" i="7"/>
  <c r="N18" i="7"/>
  <c r="G40" i="7" s="1"/>
  <c r="G36" i="7" l="1"/>
  <c r="G39" i="7"/>
  <c r="E17" i="3"/>
  <c r="E18" i="3" s="1"/>
  <c r="E19" i="3" s="1"/>
  <c r="G27" i="7"/>
  <c r="G28" i="7"/>
  <c r="T17" i="7"/>
  <c r="K29" i="7" s="1"/>
  <c r="S17" i="7"/>
  <c r="K26" i="7" s="1"/>
  <c r="N19" i="7"/>
  <c r="G46" i="7" s="1"/>
  <c r="O18" i="7"/>
  <c r="P18" i="7"/>
  <c r="Q18" i="7"/>
  <c r="T18" i="7" s="1"/>
  <c r="K32" i="7" s="1"/>
  <c r="R17" i="7"/>
  <c r="K25" i="7" s="1"/>
  <c r="D15" i="3"/>
  <c r="G41" i="7" l="1"/>
  <c r="G44" i="7"/>
  <c r="G35" i="7"/>
  <c r="G37" i="7"/>
  <c r="G33" i="7"/>
  <c r="G34" i="7"/>
  <c r="G30" i="7"/>
  <c r="G32" i="7"/>
  <c r="G31" i="7"/>
  <c r="S18" i="7"/>
  <c r="K27" i="7" s="1"/>
  <c r="R18" i="7"/>
  <c r="K28" i="7" s="1"/>
  <c r="Q19" i="7"/>
  <c r="O19" i="7"/>
  <c r="R19" i="7" s="1"/>
  <c r="P19" i="7"/>
  <c r="N20" i="7"/>
  <c r="D16" i="3"/>
  <c r="D17" i="3" s="1"/>
  <c r="E20" i="3"/>
  <c r="E21" i="3" s="1"/>
  <c r="G47" i="7" l="1"/>
  <c r="G48" i="7"/>
  <c r="G43" i="7"/>
  <c r="G45" i="7"/>
  <c r="G38" i="7"/>
  <c r="G42" i="7"/>
  <c r="K33" i="7"/>
  <c r="K30" i="7"/>
  <c r="T19" i="7"/>
  <c r="S19" i="7"/>
  <c r="N21" i="7"/>
  <c r="P20" i="7"/>
  <c r="P22" i="7" s="1"/>
  <c r="Q20" i="7"/>
  <c r="Q22" i="7" s="1"/>
  <c r="O20" i="7"/>
  <c r="O22" i="7" s="1"/>
  <c r="D18" i="3"/>
  <c r="D19" i="3" s="1"/>
  <c r="D20" i="3" s="1"/>
  <c r="E22" i="3"/>
  <c r="E23" i="3" s="1"/>
  <c r="K34" i="7" l="1"/>
  <c r="K31" i="7"/>
  <c r="T20" i="7"/>
  <c r="R20" i="7"/>
  <c r="S20" i="7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E24" i="3"/>
  <c r="E25" i="3" l="1"/>
  <c r="E26" i="3" s="1"/>
  <c r="E27" i="3" s="1"/>
  <c r="E28" i="3" s="1"/>
  <c r="E29" i="3" s="1"/>
  <c r="E30" i="3" s="1"/>
  <c r="E31" i="3" l="1"/>
  <c r="E32" i="3" s="1"/>
  <c r="E33" i="3" s="1"/>
  <c r="E34" i="3" s="1"/>
  <c r="E35" i="3" s="1"/>
  <c r="E36" i="3" s="1"/>
  <c r="C8" i="3"/>
  <c r="W11" i="5"/>
  <c r="AK11" i="4"/>
  <c r="AL33" i="4" s="1"/>
  <c r="K12" i="1"/>
  <c r="K14" i="1"/>
  <c r="K13" i="1"/>
  <c r="K16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L10" i="1"/>
  <c r="K11" i="1"/>
  <c r="L85" i="1" s="1"/>
  <c r="X29" i="5" l="1"/>
  <c r="X28" i="5"/>
  <c r="X27" i="5"/>
  <c r="X26" i="5"/>
  <c r="X23" i="5"/>
  <c r="X21" i="5"/>
  <c r="X24" i="5"/>
  <c r="X25" i="5"/>
  <c r="X22" i="5"/>
  <c r="X20" i="5"/>
  <c r="X19" i="5"/>
  <c r="AL30" i="4"/>
  <c r="AL32" i="4"/>
  <c r="AL28" i="4"/>
  <c r="AL31" i="4"/>
  <c r="AL27" i="4"/>
  <c r="AL26" i="4"/>
  <c r="AL29" i="4"/>
  <c r="X18" i="5"/>
  <c r="X17" i="5"/>
  <c r="AL24" i="4"/>
  <c r="AL25" i="4"/>
  <c r="AL20" i="4"/>
  <c r="AL23" i="4"/>
  <c r="AL21" i="4"/>
  <c r="AL22" i="4"/>
  <c r="L84" i="1"/>
  <c r="L83" i="1"/>
  <c r="AL18" i="4"/>
  <c r="AL19" i="4"/>
  <c r="AL17" i="4"/>
  <c r="AL16" i="4"/>
  <c r="L71" i="1"/>
  <c r="L13" i="1"/>
  <c r="L82" i="1"/>
  <c r="L81" i="1"/>
  <c r="L11" i="1"/>
  <c r="L35" i="1"/>
  <c r="L26" i="1"/>
  <c r="X14" i="5"/>
  <c r="X15" i="5"/>
  <c r="X16" i="5"/>
  <c r="L27" i="1"/>
  <c r="L58" i="1"/>
  <c r="L34" i="1"/>
  <c r="L57" i="1"/>
  <c r="L33" i="1"/>
  <c r="L32" i="1"/>
  <c r="L47" i="1"/>
  <c r="L23" i="1"/>
  <c r="L46" i="1"/>
  <c r="L22" i="1"/>
  <c r="L14" i="1"/>
  <c r="L59" i="1"/>
  <c r="L43" i="1"/>
  <c r="L19" i="1"/>
  <c r="L50" i="1"/>
  <c r="L18" i="1"/>
  <c r="L41" i="1"/>
  <c r="L17" i="1"/>
  <c r="L56" i="1"/>
  <c r="L40" i="1"/>
  <c r="L24" i="1"/>
  <c r="L55" i="1"/>
  <c r="L31" i="1"/>
  <c r="L62" i="1"/>
  <c r="L30" i="1"/>
  <c r="L61" i="1"/>
  <c r="L53" i="1"/>
  <c r="L45" i="1"/>
  <c r="L37" i="1"/>
  <c r="L29" i="1"/>
  <c r="L21" i="1"/>
  <c r="L51" i="1"/>
  <c r="L42" i="1"/>
  <c r="L80" i="1"/>
  <c r="L78" i="1"/>
  <c r="L79" i="1"/>
  <c r="L76" i="1"/>
  <c r="L77" i="1"/>
  <c r="L75" i="1"/>
  <c r="L74" i="1"/>
  <c r="L73" i="1"/>
  <c r="L70" i="1"/>
  <c r="L68" i="1"/>
  <c r="L66" i="1"/>
  <c r="L72" i="1"/>
  <c r="L69" i="1"/>
  <c r="L67" i="1"/>
  <c r="L65" i="1"/>
  <c r="L49" i="1"/>
  <c r="L25" i="1"/>
  <c r="L64" i="1"/>
  <c r="L48" i="1"/>
  <c r="L16" i="1"/>
  <c r="L63" i="1"/>
  <c r="L39" i="1"/>
  <c r="L15" i="1"/>
  <c r="L54" i="1"/>
  <c r="L38" i="1"/>
  <c r="L60" i="1"/>
  <c r="L52" i="1"/>
  <c r="L44" i="1"/>
  <c r="L36" i="1"/>
  <c r="L28" i="1"/>
  <c r="L20" i="1"/>
  <c r="L12" i="1"/>
  <c r="AL15" i="4"/>
  <c r="AL14" i="4"/>
  <c r="AL13" i="4"/>
  <c r="AL12" i="4"/>
  <c r="X13" i="5"/>
  <c r="X12" i="5"/>
  <c r="X11" i="5"/>
  <c r="D38" i="3"/>
  <c r="E37" i="3"/>
  <c r="E38" i="3" s="1"/>
  <c r="E39" i="3" s="1"/>
  <c r="E40" i="3" s="1"/>
  <c r="E41" i="3" s="1"/>
  <c r="E42" i="3" s="1"/>
  <c r="E43" i="3" s="1"/>
  <c r="E44" i="3" s="1"/>
  <c r="C9" i="3"/>
  <c r="I9" i="3" s="1"/>
  <c r="AL11" i="4"/>
  <c r="I8" i="3"/>
  <c r="E45" i="3" l="1"/>
  <c r="E46" i="3" s="1"/>
  <c r="E47" i="3" s="1"/>
  <c r="E48" i="3" s="1"/>
  <c r="E49" i="3" s="1"/>
  <c r="D39" i="3"/>
  <c r="D40" i="3" s="1"/>
  <c r="D41" i="3" s="1"/>
  <c r="D42" i="3" s="1"/>
  <c r="D43" i="3" s="1"/>
  <c r="C10" i="3"/>
  <c r="E50" i="3" l="1"/>
  <c r="D44" i="3"/>
  <c r="D45" i="3" s="1"/>
  <c r="D46" i="3" s="1"/>
  <c r="D47" i="3" s="1"/>
  <c r="D48" i="3" s="1"/>
  <c r="D49" i="3" s="1"/>
  <c r="I10" i="3"/>
  <c r="C11" i="3"/>
  <c r="E51" i="3" l="1"/>
  <c r="E52" i="3" s="1"/>
  <c r="D50" i="3"/>
  <c r="D51" i="3" s="1"/>
  <c r="C12" i="3"/>
  <c r="I11" i="3"/>
  <c r="E53" i="3" l="1"/>
  <c r="D52" i="3"/>
  <c r="C13" i="3"/>
  <c r="I12" i="3"/>
  <c r="E54" i="3" l="1"/>
  <c r="E55" i="3" s="1"/>
  <c r="C14" i="3"/>
  <c r="I14" i="3" s="1"/>
  <c r="D53" i="3"/>
  <c r="I13" i="3"/>
  <c r="E56" i="3" l="1"/>
  <c r="E57" i="3" s="1"/>
  <c r="E58" i="3" s="1"/>
  <c r="C15" i="3"/>
  <c r="C16" i="3" s="1"/>
  <c r="I16" i="3" s="1"/>
  <c r="D54" i="3"/>
  <c r="E59" i="3" l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C17" i="3"/>
  <c r="I17" i="3" s="1"/>
  <c r="I15" i="3"/>
  <c r="D55" i="3"/>
  <c r="E74" i="3" l="1"/>
  <c r="C18" i="3"/>
  <c r="C19" i="3" s="1"/>
  <c r="I19" i="3" s="1"/>
  <c r="D56" i="3"/>
  <c r="I18" i="3" l="1"/>
  <c r="C20" i="3"/>
  <c r="I20" i="3" s="1"/>
  <c r="D57" i="3"/>
  <c r="C21" i="3" l="1"/>
  <c r="I21" i="3" s="1"/>
  <c r="D58" i="3"/>
  <c r="C22" i="3" l="1"/>
  <c r="C23" i="3" s="1"/>
  <c r="I23" i="3" s="1"/>
  <c r="D59" i="3"/>
  <c r="I22" i="3" l="1"/>
  <c r="C24" i="3"/>
  <c r="I24" i="3" s="1"/>
  <c r="D60" i="3"/>
  <c r="C25" i="3" l="1"/>
  <c r="I25" i="3" s="1"/>
  <c r="D61" i="3"/>
  <c r="D62" i="3" s="1"/>
  <c r="D63" i="3" s="1"/>
  <c r="D64" i="3" s="1"/>
  <c r="D65" i="3" s="1"/>
  <c r="D66" i="3" s="1"/>
  <c r="D67" i="3" s="1"/>
  <c r="D68" i="3" s="1"/>
  <c r="D69" i="3" l="1"/>
  <c r="D70" i="3" s="1"/>
  <c r="D71" i="3" s="1"/>
  <c r="D72" i="3" s="1"/>
  <c r="D73" i="3" s="1"/>
  <c r="C26" i="3"/>
  <c r="I26" i="3" s="1"/>
  <c r="D74" i="3" l="1"/>
  <c r="C27" i="3"/>
  <c r="I27" i="3" s="1"/>
  <c r="C28" i="3" l="1"/>
  <c r="I28" i="3" s="1"/>
  <c r="C29" i="3" l="1"/>
  <c r="I29" i="3" s="1"/>
  <c r="C30" i="3" l="1"/>
  <c r="I30" i="3" s="1"/>
  <c r="C31" i="3" l="1"/>
  <c r="I31" i="3" s="1"/>
  <c r="C32" i="3" l="1"/>
  <c r="I32" i="3" s="1"/>
  <c r="C33" i="3"/>
  <c r="I33" i="3" s="1"/>
  <c r="C34" i="3" l="1"/>
  <c r="I34" i="3" s="1"/>
  <c r="C35" i="3" l="1"/>
  <c r="I35" i="3" s="1"/>
  <c r="C36" i="3" l="1"/>
  <c r="I36" i="3" s="1"/>
  <c r="C37" i="3" l="1"/>
  <c r="I37" i="3" s="1"/>
  <c r="C38" i="3" l="1"/>
  <c r="I38" i="3" s="1"/>
  <c r="C39" i="3" l="1"/>
  <c r="I39" i="3" s="1"/>
  <c r="C40" i="3" l="1"/>
  <c r="I40" i="3" s="1"/>
  <c r="C41" i="3" l="1"/>
  <c r="I41" i="3" s="1"/>
  <c r="C42" i="3" l="1"/>
  <c r="I42" i="3" s="1"/>
  <c r="C43" i="3" l="1"/>
  <c r="I43" i="3" s="1"/>
  <c r="C44" i="3" l="1"/>
  <c r="I44" i="3" s="1"/>
  <c r="C45" i="3" l="1"/>
  <c r="I45" i="3" s="1"/>
  <c r="C46" i="3" l="1"/>
  <c r="I46" i="3" s="1"/>
  <c r="C47" i="3" l="1"/>
  <c r="I47" i="3" s="1"/>
  <c r="C48" i="3" l="1"/>
  <c r="I48" i="3" s="1"/>
  <c r="C49" i="3" l="1"/>
  <c r="I49" i="3" l="1"/>
  <c r="C50" i="3"/>
  <c r="C51" i="3" s="1"/>
  <c r="C52" i="3" l="1"/>
  <c r="I51" i="3"/>
  <c r="I50" i="3"/>
  <c r="C53" i="3" l="1"/>
  <c r="I52" i="3"/>
  <c r="C54" i="3" l="1"/>
  <c r="I53" i="3"/>
  <c r="C55" i="3" l="1"/>
  <c r="I54" i="3"/>
  <c r="C56" i="3" l="1"/>
  <c r="I55" i="3"/>
  <c r="C57" i="3" l="1"/>
  <c r="I56" i="3"/>
  <c r="C58" i="3" l="1"/>
  <c r="I57" i="3"/>
  <c r="C59" i="3" l="1"/>
  <c r="I58" i="3"/>
  <c r="C60" i="3" l="1"/>
  <c r="I59" i="3"/>
  <c r="C61" i="3" l="1"/>
  <c r="C62" i="3" s="1"/>
  <c r="I60" i="3"/>
  <c r="I62" i="3" l="1"/>
  <c r="C63" i="3"/>
  <c r="I61" i="3"/>
  <c r="I63" i="3" l="1"/>
  <c r="C64" i="3"/>
  <c r="I64" i="3" l="1"/>
  <c r="C65" i="3"/>
  <c r="I65" i="3" l="1"/>
  <c r="C66" i="3"/>
  <c r="I66" i="3" l="1"/>
  <c r="C67" i="3"/>
  <c r="I67" i="3" l="1"/>
  <c r="C68" i="3"/>
  <c r="C69" i="3" l="1"/>
  <c r="I68" i="3"/>
  <c r="I69" i="3" l="1"/>
  <c r="C70" i="3"/>
  <c r="I70" i="3" l="1"/>
  <c r="C71" i="3"/>
  <c r="I71" i="3" l="1"/>
  <c r="C72" i="3"/>
  <c r="I72" i="3" l="1"/>
  <c r="C73" i="3"/>
  <c r="C74" i="3" s="1"/>
  <c r="I74" i="3" s="1"/>
  <c r="I7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47" authorId="0" shapeId="0" xr:uid="{3EE4E172-161F-4883-A580-2D69EECF253C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47" authorId="0" shapeId="0" xr:uid="{17453F36-4440-4D55-B9BC-A4D3EEECED17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71" authorId="0" shapeId="0" xr:uid="{5DD171B2-A2CF-4074-ADD8-FE7F69E42586}">
      <text>
        <r>
          <rPr>
            <sz val="9"/>
            <color indexed="81"/>
            <rFont val="Segoe UI"/>
            <family val="2"/>
          </rPr>
          <t>No despacho o valor a ser destinado à Intec estava contemplando os tributos.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AB9" authorId="0" shapeId="0" xr:uid="{22BC5FF4-5FF4-4B00-B224-0A958DE8D51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V10" authorId="0" shapeId="0" xr:uid="{FD088265-A23D-4693-8312-BEF2701B8B39}">
      <text>
        <r>
          <rPr>
            <b/>
            <sz val="9"/>
            <color indexed="81"/>
            <rFont val="Segoe UI"/>
            <family val="2"/>
          </rPr>
          <t>Repasses destinados ao CNPJ 29.722.071/0010-70 serão realizados à matriz.</t>
        </r>
      </text>
    </comment>
    <comment ref="AA10" authorId="0" shapeId="0" xr:uid="{341D615C-B92D-45E9-8622-2EC1AF3B007F}">
      <text>
        <r>
          <rPr>
            <b/>
            <sz val="9"/>
            <color indexed="81"/>
            <rFont val="Segoe UI"/>
            <family val="2"/>
          </rPr>
          <t>CNPJ 61.150.751/0001-89 
Centralizados no CNPJ 61.150.751/0091-35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16" authorId="0" shapeId="0" xr:uid="{18DBE935-C7E0-4C59-8C0F-1E3517FC6960}">
      <text>
        <r>
          <rPr>
            <b/>
            <sz val="9"/>
            <color indexed="81"/>
            <rFont val="Segoe UI"/>
            <family val="2"/>
          </rPr>
          <t>Valor incluído na 7º medição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14" authorId="0" shapeId="0" xr:uid="{7F6268A1-8C13-43A9-A6C2-BA4DA0DEB478}">
      <text>
        <r>
          <rPr>
            <b/>
            <sz val="9"/>
            <color indexed="81"/>
            <rFont val="Segoe UI"/>
            <family val="2"/>
          </rPr>
          <t>Repasse parcial em virtude de pendência cadastral e certidão</t>
        </r>
      </text>
    </comment>
    <comment ref="H19" authorId="0" shapeId="0" xr:uid="{001B37B2-79A5-4B00-95E2-6BAE2E89F3F3}">
      <text>
        <r>
          <rPr>
            <b/>
            <sz val="9"/>
            <color indexed="81"/>
            <rFont val="Segoe UI"/>
            <family val="2"/>
          </rPr>
          <t>Repasse realizado em 3 datas devido à pendência cadastral. Correção no valor solicitado em 23/11 via chamado.</t>
        </r>
      </text>
    </comment>
    <comment ref="H20" authorId="0" shapeId="0" xr:uid="{FCE05AE6-9BA8-47C8-BC4E-7A868D8F755F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33" authorId="0" shapeId="0" xr:uid="{3BBDA26C-B607-406B-B6C0-1FD905FB61D1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4" authorId="0" shapeId="0" xr:uid="{4CD0458D-A9B4-4459-91B5-A16BE560460E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5" authorId="0" shapeId="0" xr:uid="{C9A0332B-28EC-4BAA-A236-CEFFAB3ABFED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6" authorId="0" shapeId="0" xr:uid="{15910A67-DA01-48CD-9CC5-849C75499CA6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7" authorId="0" shapeId="0" xr:uid="{06842618-5E1F-43B8-BE76-D7CA289B04A5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Y12" authorId="0" shapeId="0" xr:uid="{41CE9DF6-DE26-4332-8093-479282315A3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AA12" authorId="0" shapeId="0" xr:uid="{96F3C824-09E2-42A8-844B-DA72874C1816}">
      <text>
        <r>
          <rPr>
            <b/>
            <sz val="9"/>
            <color indexed="81"/>
            <rFont val="Segoe UI"/>
            <family val="2"/>
          </rPr>
          <t>Empresa sem conta bancária</t>
        </r>
      </text>
    </comment>
    <comment ref="AC12" authorId="0" shapeId="0" xr:uid="{CDCA5BD1-CA83-43F4-98ED-9695B9A595AA}">
      <text>
        <r>
          <rPr>
            <b/>
            <sz val="9"/>
            <color indexed="81"/>
            <rFont val="Segoe UI"/>
            <family val="2"/>
          </rPr>
          <t>Inclui os repasses para a MGK/SEMENSATO (</t>
        </r>
      </text>
    </comment>
    <comment ref="R24" authorId="0" shapeId="0" xr:uid="{EEE70949-B84A-49B3-ABA0-1191EFCB710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4" authorId="0" shapeId="0" xr:uid="{700C731D-1A68-483D-9A35-9830AAFB4CBC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5" authorId="0" shapeId="0" xr:uid="{31B4DE70-7ADC-47E1-8283-E3470DEA3A05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5" authorId="0" shapeId="0" xr:uid="{8B573A4F-2379-4649-8151-C3A2F50CE36B}">
      <text>
        <r>
          <rPr>
            <b/>
            <sz val="9"/>
            <color indexed="81"/>
            <rFont val="Segoe UI"/>
            <family val="2"/>
          </rPr>
          <t>Pendência cadastral
Correção do valor solicitado em 23/11/2022, chamado 49098</t>
        </r>
      </text>
    </comment>
    <comment ref="T26" authorId="0" shapeId="0" xr:uid="{1958466C-7A67-4399-A2CA-14401F9237EE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7" authorId="0" shapeId="0" xr:uid="{EBDAD24C-71FD-406A-92E5-FC08C2273C5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9" authorId="0" shapeId="0" xr:uid="{F7C607C1-8599-48B3-8BAA-9F5FF2C975C5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T30" authorId="0" shapeId="0" xr:uid="{E8899FCD-CB72-4A0E-9F5F-E7FFDC72E8BB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AC39" authorId="0" shapeId="0" xr:uid="{5749DCC8-7CB8-4CBC-8341-6C8AC532CB41}">
      <text>
        <r>
          <rPr>
            <b/>
            <sz val="9"/>
            <color indexed="81"/>
            <rFont val="Segoe UI"/>
            <family val="2"/>
          </rPr>
          <t>Alteração do fornecedor solicitado pela beneficiária.
MGK/SEMENSATO - 39.283.415/0001-55</t>
        </r>
      </text>
    </comment>
  </commentList>
</comments>
</file>

<file path=xl/sharedStrings.xml><?xml version="1.0" encoding="utf-8"?>
<sst xmlns="http://schemas.openxmlformats.org/spreadsheetml/2006/main" count="455" uniqueCount="252">
  <si>
    <t>Documento Aneel</t>
  </si>
  <si>
    <t>Montante do benefício</t>
  </si>
  <si>
    <t>Total</t>
  </si>
  <si>
    <t>AMAZONAS</t>
  </si>
  <si>
    <t>AMAZONAS ENERGIA</t>
  </si>
  <si>
    <t>http://www2.aneel.gov.br/cedoc/rea20187385ti.pdf</t>
  </si>
  <si>
    <t>Obra</t>
  </si>
  <si>
    <t>Interligação da localidade de Itacoatiara, no Estado do Amazonas, ao Sistema Interligado Nacional - SIN</t>
  </si>
  <si>
    <t>Despacho</t>
  </si>
  <si>
    <t>INTEC</t>
  </si>
  <si>
    <t>GI ENERGY</t>
  </si>
  <si>
    <t>LOGIX</t>
  </si>
  <si>
    <t>VIA MINEIRA</t>
  </si>
  <si>
    <t>SELT</t>
  </si>
  <si>
    <t>Reembolso Sub-rogação de Obras em Andamento - AMAZONAS ENERGIA</t>
  </si>
  <si>
    <t>Data de Publicação</t>
  </si>
  <si>
    <t>Data de Pagamento</t>
  </si>
  <si>
    <t>Saldo Remanescente</t>
  </si>
  <si>
    <t>Interligação da localidade de Parintins, no Estado do Amazonas, ao Sistema Interligado Nacional - SIN</t>
  </si>
  <si>
    <t>Resolução Autorizativa nº 7.408, DE 23 de outubro 2018</t>
  </si>
  <si>
    <t>http://www2.aneel.gov.br/cedoc/rea20187408ti.pdf</t>
  </si>
  <si>
    <t>Resolução Autorizativa nº 7.385, DE 9 de outubro 2018</t>
  </si>
  <si>
    <t>Resolução Autorizativa nº 7.409, DE 23 de outubro 2018</t>
  </si>
  <si>
    <t>http://www2.aneel.gov.br/cedoc/rea20187409ti.pdf</t>
  </si>
  <si>
    <t>Interligação da localidade de Humaitá, no Estado do Amazonas, ao Sistema Interligado Nacional - SIN</t>
  </si>
  <si>
    <t>Itacoatiara</t>
  </si>
  <si>
    <t>Parintins</t>
  </si>
  <si>
    <t>Humaitá</t>
  </si>
  <si>
    <t>Mês pagamento</t>
  </si>
  <si>
    <t>Silves</t>
  </si>
  <si>
    <t>Interligação das localidades de Itapiranga, Rio Preto da Eva, Silves, no Estado do Amazonas, ao Sistema Interligado Nacional - SIN</t>
  </si>
  <si>
    <t>Itapiranga</t>
  </si>
  <si>
    <t>Rio Preto da Eva</t>
  </si>
  <si>
    <t>Resolução Autorizativa nº 10.630, de 21 de setembro 2021</t>
  </si>
  <si>
    <t>% Avanço Físico</t>
  </si>
  <si>
    <t>Data da Solicitação</t>
  </si>
  <si>
    <t>Localidade</t>
  </si>
  <si>
    <t>% Avanço Financeiro</t>
  </si>
  <si>
    <t>% Reembolso</t>
  </si>
  <si>
    <t>Valor do Reembolso</t>
  </si>
  <si>
    <t>Avanço Físico Acumulado</t>
  </si>
  <si>
    <t>Avanço Financeiro Acumulado</t>
  </si>
  <si>
    <t>Percentual de Reembolso</t>
  </si>
  <si>
    <t>Art. 3º Para fazer jus ao reembolso da CCC, a Amazonas Distribuidora de Energia S.A. - AmE deverá informar o atingimento dos percentuais de avanço físico das obras à Câmara de Comercialização de Energia Elétrica – CCEE.
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</si>
  <si>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REA 7408/2018</t>
  </si>
  <si>
    <t>REA 7385/2018</t>
  </si>
  <si>
    <t>REA 7409/2018</t>
  </si>
  <si>
    <t>REA 10630/2021</t>
  </si>
  <si>
    <t>Reembolso de Sub-rogação de Obras em Andamento</t>
  </si>
  <si>
    <t>Valor sub-rogado</t>
  </si>
  <si>
    <t>Total das Obras</t>
  </si>
  <si>
    <t>ELECNOR</t>
  </si>
  <si>
    <t>Valor SE</t>
  </si>
  <si>
    <t>Valor LD</t>
  </si>
  <si>
    <t>Valor Total</t>
  </si>
  <si>
    <t>REMO</t>
  </si>
  <si>
    <t>REMOLUX</t>
  </si>
  <si>
    <t>ALUBAR</t>
  </si>
  <si>
    <t>AVALICON</t>
  </si>
  <si>
    <t>BRAMETAL</t>
  </si>
  <si>
    <t>DOSSEL</t>
  </si>
  <si>
    <t>ENGEMAP</t>
  </si>
  <si>
    <t>PLP PRODUTOS</t>
  </si>
  <si>
    <t>ZTT DO BRASIL</t>
  </si>
  <si>
    <t>WEG EQ</t>
  </si>
  <si>
    <t>PFIFFNER</t>
  </si>
  <si>
    <t>BREE</t>
  </si>
  <si>
    <t>ENERWATT</t>
  </si>
  <si>
    <t>SIEMENS ENERGY</t>
  </si>
  <si>
    <t>Medição</t>
  </si>
  <si>
    <t>1º a 3º</t>
  </si>
  <si>
    <t>4º</t>
  </si>
  <si>
    <t>https://www2.aneel.gov.br/cedoc/rea202211451ti.pdf</t>
  </si>
  <si>
    <t>Resolução Autorizativa Nº 11.451, DE 5 e abril de 2022</t>
  </si>
  <si>
    <t>ENERWATT SP</t>
  </si>
  <si>
    <t>IF ENGENHARIA</t>
  </si>
  <si>
    <t>LINHAS DO NORTE</t>
  </si>
  <si>
    <t>CIELT</t>
  </si>
  <si>
    <t>B.T.M.</t>
  </si>
  <si>
    <t>5º</t>
  </si>
  <si>
    <t>HITACHI ENERGY</t>
  </si>
  <si>
    <t>Resolução Autorizativa nº 12.178, DE 28 de junho 2022</t>
  </si>
  <si>
    <t>https://www2.aneel.gov.br/cedoc/rea202212178ti.pdf</t>
  </si>
  <si>
    <t>6º e 7º</t>
  </si>
  <si>
    <t>BALTEAU</t>
  </si>
  <si>
    <t>SATEL</t>
  </si>
  <si>
    <t>ENGETOWER</t>
  </si>
  <si>
    <t>MARTE PROJETOS</t>
  </si>
  <si>
    <t>MATCH SOLUTIONS</t>
  </si>
  <si>
    <t>BALESTRO</t>
  </si>
  <si>
    <t>04.395.273/0001-33</t>
  </si>
  <si>
    <t>02.341.467/0001-20</t>
  </si>
  <si>
    <t>30.455.661/0001-72</t>
  </si>
  <si>
    <t>13.434.970/0001-47</t>
  </si>
  <si>
    <t>16.857.533/0001-24</t>
  </si>
  <si>
    <t>00.595.978/0001-43</t>
  </si>
  <si>
    <t>03.015.875/0001-55</t>
  </si>
  <si>
    <t>18.225.557/0001-96</t>
  </si>
  <si>
    <t>61.074.829/0011-03</t>
  </si>
  <si>
    <t>07.791.042/0007-22</t>
  </si>
  <si>
    <t>21.921.392/0001-00</t>
  </si>
  <si>
    <t>07.791.042/0002-18</t>
  </si>
  <si>
    <t>08.161.189/0001-06</t>
  </si>
  <si>
    <t>44.013.159/0031-31</t>
  </si>
  <si>
    <t>17.995.592/0002-02</t>
  </si>
  <si>
    <t>42.072.323/0001-30</t>
  </si>
  <si>
    <t>19.187.475/0001-67</t>
  </si>
  <si>
    <t>11.093.462/0001-17</t>
  </si>
  <si>
    <t>03.740.729/0001-92</t>
  </si>
  <si>
    <t>00.008.220/0001-61</t>
  </si>
  <si>
    <t>08.262.121/0001-13</t>
  </si>
  <si>
    <t>03.821.349/0001-82</t>
  </si>
  <si>
    <t>83.249.078/0001-71</t>
  </si>
  <si>
    <t>10.538.220/0001-27</t>
  </si>
  <si>
    <t>01.020.691/0003-10</t>
  </si>
  <si>
    <t>61.831.244/0001-00</t>
  </si>
  <si>
    <t>18.748.007/0001-51</t>
  </si>
  <si>
    <t>07.175.725/0030-02</t>
  </si>
  <si>
    <t>00.296.988/0001-88</t>
  </si>
  <si>
    <t>34.325.200/0001-36</t>
  </si>
  <si>
    <t>52.770.948/0002-00</t>
  </si>
  <si>
    <t>Limite Reembolso Mensal</t>
  </si>
  <si>
    <t>Limite Reembolso Acumulado até o mês</t>
  </si>
  <si>
    <t>METRUM</t>
  </si>
  <si>
    <t>8º e 9º</t>
  </si>
  <si>
    <t>INTELLI</t>
  </si>
  <si>
    <t>NEW POWER</t>
  </si>
  <si>
    <t>PRYSMIAN</t>
  </si>
  <si>
    <t>12.515.928/0001-98</t>
  </si>
  <si>
    <t>46.754.545/0001-94</t>
  </si>
  <si>
    <t>HUBBELL</t>
  </si>
  <si>
    <t>TEKMAX</t>
  </si>
  <si>
    <t>43.488.105/0005-78</t>
  </si>
  <si>
    <t>03.171.752/0001-03</t>
  </si>
  <si>
    <t>61.150.751/0091-35</t>
  </si>
  <si>
    <t>20.641.224/0001-90</t>
  </si>
  <si>
    <t>03.740.922/0001-23</t>
  </si>
  <si>
    <t>SIEMENS</t>
  </si>
  <si>
    <t>33.633.561/0001-87</t>
  </si>
  <si>
    <t>TRACTEBEL</t>
  </si>
  <si>
    <t>GERAFORTE</t>
  </si>
  <si>
    <t>10.618.016/0001-16</t>
  </si>
  <si>
    <t>66.018.441/0001-29</t>
  </si>
  <si>
    <t>COPPERMETAL</t>
  </si>
  <si>
    <t>CERAMICA SANTA TEREZINHA</t>
  </si>
  <si>
    <t>53.858.312/0001-05</t>
  </si>
  <si>
    <t>DELTA STAR</t>
  </si>
  <si>
    <t>54.485.735/0001-81</t>
  </si>
  <si>
    <t>ITAM</t>
  </si>
  <si>
    <t>15.815.491/0001-04</t>
  </si>
  <si>
    <t>Valor do Reembolso Acumulado</t>
  </si>
  <si>
    <t>MEGAKRON</t>
  </si>
  <si>
    <t>47.973.830/0001-69</t>
  </si>
  <si>
    <t>VGROW</t>
  </si>
  <si>
    <t>21.602.012/0001-66</t>
  </si>
  <si>
    <t>3261_Retif</t>
  </si>
  <si>
    <t>61.409.892/0003-35</t>
  </si>
  <si>
    <t>08.573.550/0001-01</t>
  </si>
  <si>
    <t>03.394.691/0001-43</t>
  </si>
  <si>
    <t>05.626.249/0001-20</t>
  </si>
  <si>
    <t>33.852.322/0001-18</t>
  </si>
  <si>
    <t>29.722.071/0001-80</t>
  </si>
  <si>
    <t>26.820.923/0001-83</t>
  </si>
  <si>
    <t>CBA FILIAL</t>
  </si>
  <si>
    <t>CROSS</t>
  </si>
  <si>
    <t>PLASTIBRAS</t>
  </si>
  <si>
    <t>PPC SANTANA</t>
  </si>
  <si>
    <t>SEDIVER</t>
  </si>
  <si>
    <t>SPL PLACAS EIRELI</t>
  </si>
  <si>
    <t>Art. 3º Para fazer jus ao reembolso da CCC, a Amazonas Distribuidora de Energia S.A. - AmE deverá informar o atingimento dos percentuais de avanço físico das obras à Câmara de Comercialização de Energia Elétrica – CCEE.</t>
  </si>
  <si>
    <t>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</si>
  <si>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CTRLTECH</t>
  </si>
  <si>
    <t>33/2023</t>
  </si>
  <si>
    <t>167/2022</t>
  </si>
  <si>
    <t>1065/2022</t>
  </si>
  <si>
    <t>1590/2022</t>
  </si>
  <si>
    <t>2267/2022</t>
  </si>
  <si>
    <t>2596/2022</t>
  </si>
  <si>
    <t>3261/2022</t>
  </si>
  <si>
    <t>3262/2022</t>
  </si>
  <si>
    <t>3702/2022</t>
  </si>
  <si>
    <t>894/2022</t>
  </si>
  <si>
    <t>1025/2022</t>
  </si>
  <si>
    <t>1381/2022</t>
  </si>
  <si>
    <t>1819/2022</t>
  </si>
  <si>
    <t>894_Retif/2022</t>
  </si>
  <si>
    <t>2612/2022</t>
  </si>
  <si>
    <t>3708/2022</t>
  </si>
  <si>
    <t>10º, 11º e 12º</t>
  </si>
  <si>
    <t>44.013.159/0001-16</t>
  </si>
  <si>
    <t>SIEMENS CE</t>
  </si>
  <si>
    <t>21.602.012/0003-28</t>
  </si>
  <si>
    <t>585/2023</t>
  </si>
  <si>
    <t>BETA</t>
  </si>
  <si>
    <t>35.553.201/0001-09</t>
  </si>
  <si>
    <t>GALI</t>
  </si>
  <si>
    <t>07.758.028/0001-31</t>
  </si>
  <si>
    <t>SAE TOWERS</t>
  </si>
  <si>
    <t>75.535.682/0001-36</t>
  </si>
  <si>
    <t>VOLPATO</t>
  </si>
  <si>
    <t>ABB</t>
  </si>
  <si>
    <t>33.449.988/0001-20</t>
  </si>
  <si>
    <t>628/2023</t>
  </si>
  <si>
    <t>GCOMM</t>
  </si>
  <si>
    <t>13.709.489/0001-17</t>
  </si>
  <si>
    <t>MAXXWELD</t>
  </si>
  <si>
    <t>82.470.352/0001-75</t>
  </si>
  <si>
    <t>TREETECH</t>
  </si>
  <si>
    <t>28.610.265/0002-01</t>
  </si>
  <si>
    <t>13.494.052/0001-03</t>
  </si>
  <si>
    <t>04.928.581/0001-87</t>
  </si>
  <si>
    <r>
      <t>Pendente</t>
    </r>
    <r>
      <rPr>
        <vertAlign val="superscript"/>
        <sz val="11"/>
        <color rgb="FF002060"/>
        <rFont val="Inter"/>
        <family val="3"/>
      </rPr>
      <t>1</t>
    </r>
  </si>
  <si>
    <r>
      <t>Pendente</t>
    </r>
    <r>
      <rPr>
        <i/>
        <vertAlign val="superscript"/>
        <sz val="10"/>
        <rFont val="Inter"/>
        <family val="3"/>
      </rPr>
      <t>1</t>
    </r>
    <r>
      <rPr>
        <i/>
        <sz val="10"/>
        <rFont val="Inter"/>
        <family val="3"/>
      </rPr>
      <t>: Os valores não pagos são devido à pendência cadastral dos fornecedores.</t>
    </r>
  </si>
  <si>
    <t>979/2023</t>
  </si>
  <si>
    <t>ACT POWER</t>
  </si>
  <si>
    <t>44.500.895/0001-07</t>
  </si>
  <si>
    <t>1341/2023</t>
  </si>
  <si>
    <t>FURUKAWA</t>
  </si>
  <si>
    <t xml:space="preserve"> 51.775.690/0001-91</t>
  </si>
  <si>
    <t xml:space="preserve">13° e 14° </t>
  </si>
  <si>
    <t>1406/2023</t>
  </si>
  <si>
    <t>1407/2023</t>
  </si>
  <si>
    <t>15° e 16°</t>
  </si>
  <si>
    <t>1989/2023</t>
  </si>
  <si>
    <t>2647/2023</t>
  </si>
  <si>
    <t xml:space="preserve"> LINION
ISOLANTES LTDA</t>
  </si>
  <si>
    <t>19.662.262/0001-40</t>
  </si>
  <si>
    <t>RENOVA</t>
  </si>
  <si>
    <t>33.395.882/0001-36</t>
  </si>
  <si>
    <t>187/2024</t>
  </si>
  <si>
    <t>17°, 18° e 19°</t>
  </si>
  <si>
    <t>341/2024</t>
  </si>
  <si>
    <t>855/2024</t>
  </si>
  <si>
    <t>20°</t>
  </si>
  <si>
    <t>1544/2024</t>
  </si>
  <si>
    <t>21°</t>
  </si>
  <si>
    <t>22° e 23°</t>
  </si>
  <si>
    <t>1787/2024</t>
  </si>
  <si>
    <t>2265/2024</t>
  </si>
  <si>
    <t>24º</t>
  </si>
  <si>
    <t>25°</t>
  </si>
  <si>
    <t>2361/2024</t>
  </si>
  <si>
    <t>26º</t>
  </si>
  <si>
    <t>2703/2024</t>
  </si>
  <si>
    <t>3099/2024</t>
  </si>
  <si>
    <t>27º</t>
  </si>
  <si>
    <t>3444/2024</t>
  </si>
  <si>
    <t>28°</t>
  </si>
  <si>
    <t>29°</t>
  </si>
  <si>
    <t>3932/2024</t>
  </si>
  <si>
    <t>142/2025</t>
  </si>
  <si>
    <t>30°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</si>
</sst>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0_-;\-* #,##0.0000_-;_-* &quot;-&quot;??_-;_-@_-"/>
    <numFmt numFmtId="167" formatCode="_-* #,##0.000_-;\-* #,##0.000_-;_-* &quot;-&quot;???_-;_-@_-"/>
    <numFmt numFmtId="168" formatCode="&quot;R$&quot;\ #,##0.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Inter"/>
      <family val="3"/>
    </font>
    <font>
      <b/>
      <i/>
      <sz val="18"/>
      <color theme="1"/>
      <name val="Inter"/>
      <family val="3"/>
    </font>
    <font>
      <b/>
      <sz val="11"/>
      <color theme="0"/>
      <name val="Inter"/>
      <family val="3"/>
    </font>
    <font>
      <sz val="11"/>
      <color rgb="FF002060"/>
      <name val="Inter"/>
      <family val="3"/>
    </font>
    <font>
      <vertAlign val="superscript"/>
      <sz val="11"/>
      <color rgb="FF002060"/>
      <name val="Inter"/>
      <family val="3"/>
    </font>
    <font>
      <i/>
      <sz val="10"/>
      <name val="Inter"/>
      <family val="3"/>
    </font>
    <font>
      <i/>
      <vertAlign val="superscript"/>
      <sz val="10"/>
      <name val="Inter"/>
      <family val="3"/>
    </font>
    <font>
      <sz val="10"/>
      <name val="Inter"/>
      <family val="3"/>
    </font>
    <font>
      <sz val="10"/>
      <color theme="1"/>
      <name val="Inter"/>
      <family val="3"/>
    </font>
    <font>
      <b/>
      <i/>
      <sz val="18"/>
      <color rgb="FF002060"/>
      <name val="Inter"/>
      <family val="3"/>
    </font>
    <font>
      <b/>
      <i/>
      <sz val="12"/>
      <color theme="1"/>
      <name val="Inter"/>
      <family val="3"/>
    </font>
    <font>
      <b/>
      <i/>
      <sz val="12"/>
      <color rgb="FF002060"/>
      <name val="Inter"/>
      <family val="3"/>
    </font>
    <font>
      <b/>
      <sz val="11"/>
      <color rgb="FFFFC000"/>
      <name val="Inter"/>
      <family val="3"/>
    </font>
    <font>
      <b/>
      <sz val="10"/>
      <color theme="9"/>
      <name val="Inter"/>
      <family val="3"/>
    </font>
    <font>
      <u/>
      <sz val="10"/>
      <color indexed="12"/>
      <name val="Inter"/>
      <family val="3"/>
    </font>
    <font>
      <b/>
      <sz val="18"/>
      <color theme="1"/>
      <name val="Inter"/>
      <family val="3"/>
    </font>
    <font>
      <sz val="18"/>
      <color theme="1"/>
      <name val="Inter Bold"/>
    </font>
    <font>
      <sz val="11"/>
      <color rgb="FF002060"/>
      <name val="Inter Light"/>
      <family val="3"/>
    </font>
    <font>
      <b/>
      <sz val="12"/>
      <color theme="1"/>
      <name val="Inter"/>
      <family val="3"/>
    </font>
    <font>
      <b/>
      <sz val="11"/>
      <color theme="1"/>
      <name val="Inter"/>
      <family val="3"/>
    </font>
    <font>
      <b/>
      <i/>
      <sz val="11"/>
      <color theme="1"/>
      <name val="Inter"/>
      <family val="3"/>
    </font>
    <font>
      <sz val="10"/>
      <color rgb="FF002060"/>
      <name val="Inter Light"/>
      <family val="3"/>
    </font>
    <font>
      <b/>
      <sz val="10"/>
      <color rgb="FF002060"/>
      <name val="Inter Light"/>
      <family val="3"/>
    </font>
    <font>
      <b/>
      <sz val="10"/>
      <color theme="0"/>
      <name val="Inter"/>
      <family val="3"/>
    </font>
    <font>
      <b/>
      <sz val="10"/>
      <color theme="0"/>
      <name val="Inter Light"/>
      <family val="3"/>
    </font>
    <font>
      <sz val="10"/>
      <color rgb="FFFFFFFF"/>
      <name val="Inter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2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4" fillId="0" borderId="0" xfId="0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Continuous" vertical="center"/>
    </xf>
    <xf numFmtId="44" fontId="26" fillId="33" borderId="10" xfId="59" applyNumberFormat="1" applyFont="1" applyFill="1" applyBorder="1" applyAlignment="1">
      <alignment horizontal="center" vertical="center"/>
    </xf>
    <xf numFmtId="17" fontId="27" fillId="0" borderId="10" xfId="0" applyNumberFormat="1" applyFont="1" applyBorder="1" applyAlignment="1">
      <alignment horizontal="center" vertical="center"/>
    </xf>
    <xf numFmtId="44" fontId="27" fillId="0" borderId="10" xfId="8" applyFont="1" applyBorder="1" applyAlignment="1">
      <alignment horizontal="center" vertical="center"/>
    </xf>
    <xf numFmtId="8" fontId="24" fillId="0" borderId="0" xfId="0" applyNumberFormat="1" applyFont="1"/>
    <xf numFmtId="4" fontId="24" fillId="0" borderId="0" xfId="0" applyNumberFormat="1" applyFont="1"/>
    <xf numFmtId="44" fontId="27" fillId="0" borderId="10" xfId="8" applyFont="1" applyFill="1" applyBorder="1" applyAlignment="1">
      <alignment horizontal="center" vertical="center"/>
    </xf>
    <xf numFmtId="14" fontId="27" fillId="0" borderId="10" xfId="2" applyNumberFormat="1" applyFont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vertical="center"/>
    </xf>
    <xf numFmtId="0" fontId="29" fillId="0" borderId="0" xfId="2" applyFont="1"/>
    <xf numFmtId="0" fontId="31" fillId="0" borderId="0" xfId="2" applyFont="1"/>
    <xf numFmtId="0" fontId="25" fillId="0" borderId="0" xfId="2" applyFont="1"/>
    <xf numFmtId="0" fontId="32" fillId="0" borderId="0" xfId="2" applyFont="1"/>
    <xf numFmtId="0" fontId="33" fillId="0" borderId="0" xfId="2" applyFont="1"/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4" fontId="35" fillId="0" borderId="0" xfId="2" applyNumberFormat="1" applyFont="1" applyAlignment="1">
      <alignment vertical="center"/>
    </xf>
    <xf numFmtId="168" fontId="34" fillId="0" borderId="0" xfId="2" applyNumberFormat="1" applyFont="1" applyAlignment="1">
      <alignment vertical="center"/>
    </xf>
    <xf numFmtId="168" fontId="35" fillId="0" borderId="0" xfId="2" applyNumberFormat="1" applyFont="1" applyAlignment="1">
      <alignment vertical="center"/>
    </xf>
    <xf numFmtId="168" fontId="34" fillId="0" borderId="0" xfId="59" applyNumberFormat="1" applyFont="1" applyAlignment="1">
      <alignment vertical="center"/>
    </xf>
    <xf numFmtId="168" fontId="35" fillId="0" borderId="0" xfId="59" applyNumberFormat="1" applyFont="1" applyAlignment="1">
      <alignment vertical="center"/>
    </xf>
    <xf numFmtId="0" fontId="31" fillId="0" borderId="0" xfId="2" applyFont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6" fillId="33" borderId="12" xfId="2" applyFont="1" applyFill="1" applyBorder="1" applyAlignment="1">
      <alignment horizontal="center" vertical="center"/>
    </xf>
    <xf numFmtId="0" fontId="36" fillId="33" borderId="13" xfId="2" applyFont="1" applyFill="1" applyBorder="1" applyAlignment="1">
      <alignment horizontal="center" vertical="center"/>
    </xf>
    <xf numFmtId="0" fontId="36" fillId="33" borderId="14" xfId="2" applyFont="1" applyFill="1" applyBorder="1" applyAlignment="1">
      <alignment horizontal="center" vertical="center"/>
    </xf>
    <xf numFmtId="167" fontId="31" fillId="0" borderId="0" xfId="2" applyNumberFormat="1" applyFont="1" applyAlignment="1">
      <alignment vertical="center"/>
    </xf>
    <xf numFmtId="44" fontId="31" fillId="0" borderId="0" xfId="2" applyNumberFormat="1" applyFont="1"/>
    <xf numFmtId="0" fontId="35" fillId="0" borderId="0" xfId="2" applyFont="1" applyAlignment="1">
      <alignment horizontal="right" vertical="center"/>
    </xf>
    <xf numFmtId="43" fontId="32" fillId="0" borderId="0" xfId="2" applyNumberFormat="1" applyFont="1" applyAlignment="1">
      <alignment vertical="center"/>
    </xf>
    <xf numFmtId="43" fontId="34" fillId="0" borderId="0" xfId="2" applyNumberFormat="1" applyFont="1" applyAlignment="1">
      <alignment vertical="center"/>
    </xf>
    <xf numFmtId="0" fontId="35" fillId="0" borderId="0" xfId="2" applyFont="1" applyAlignment="1">
      <alignment vertical="center" wrapText="1"/>
    </xf>
    <xf numFmtId="0" fontId="37" fillId="33" borderId="10" xfId="2" applyFont="1" applyFill="1" applyBorder="1" applyAlignment="1">
      <alignment horizontal="centerContinuous" vertical="center"/>
    </xf>
    <xf numFmtId="0" fontId="31" fillId="0" borderId="0" xfId="2" applyFont="1" applyAlignment="1">
      <alignment horizontal="center" vertical="center" wrapText="1"/>
    </xf>
    <xf numFmtId="43" fontId="31" fillId="0" borderId="0" xfId="2" applyNumberFormat="1" applyFont="1" applyAlignment="1">
      <alignment vertical="center"/>
    </xf>
    <xf numFmtId="168" fontId="31" fillId="0" borderId="0" xfId="2" applyNumberFormat="1" applyFont="1"/>
    <xf numFmtId="44" fontId="27" fillId="0" borderId="0" xfId="5" applyFont="1" applyFill="1" applyBorder="1" applyAlignment="1">
      <alignment vertical="center"/>
    </xf>
    <xf numFmtId="43" fontId="31" fillId="0" borderId="0" xfId="59" applyFont="1" applyAlignment="1">
      <alignment vertical="center"/>
    </xf>
    <xf numFmtId="43" fontId="35" fillId="0" borderId="0" xfId="59" applyFont="1" applyAlignment="1">
      <alignment vertical="center"/>
    </xf>
    <xf numFmtId="0" fontId="38" fillId="0" borderId="0" xfId="1" applyFont="1" applyAlignment="1" applyProtection="1">
      <alignment vertical="center"/>
    </xf>
    <xf numFmtId="165" fontId="31" fillId="0" borderId="0" xfId="2" applyNumberFormat="1" applyFont="1" applyAlignment="1">
      <alignment vertical="center"/>
    </xf>
    <xf numFmtId="0" fontId="36" fillId="33" borderId="10" xfId="2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14" fontId="41" fillId="0" borderId="10" xfId="2" applyNumberFormat="1" applyFont="1" applyBorder="1" applyAlignment="1">
      <alignment horizontal="center" vertical="center"/>
    </xf>
    <xf numFmtId="44" fontId="41" fillId="0" borderId="10" xfId="59" applyNumberFormat="1" applyFont="1" applyFill="1" applyBorder="1" applyAlignment="1">
      <alignment horizontal="center" vertical="center"/>
    </xf>
    <xf numFmtId="1" fontId="41" fillId="0" borderId="10" xfId="2" quotePrefix="1" applyNumberFormat="1" applyFont="1" applyBorder="1" applyAlignment="1">
      <alignment horizontal="center" vertical="center"/>
    </xf>
    <xf numFmtId="166" fontId="41" fillId="0" borderId="10" xfId="4" applyNumberFormat="1" applyFont="1" applyFill="1" applyBorder="1" applyAlignment="1">
      <alignment horizontal="center" vertical="center"/>
    </xf>
    <xf numFmtId="165" fontId="41" fillId="0" borderId="10" xfId="4" applyNumberFormat="1" applyFont="1" applyFill="1" applyBorder="1" applyAlignment="1">
      <alignment horizontal="center" vertical="center"/>
    </xf>
    <xf numFmtId="1" fontId="41" fillId="0" borderId="10" xfId="2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39" fillId="0" borderId="0" xfId="2" applyFont="1"/>
    <xf numFmtId="0" fontId="43" fillId="0" borderId="0" xfId="2" applyFont="1" applyAlignment="1">
      <alignment vertical="center"/>
    </xf>
    <xf numFmtId="0" fontId="24" fillId="0" borderId="0" xfId="2" applyFont="1"/>
    <xf numFmtId="0" fontId="44" fillId="0" borderId="0" xfId="2" applyFont="1" applyAlignment="1">
      <alignment vertical="center"/>
    </xf>
    <xf numFmtId="14" fontId="45" fillId="0" borderId="10" xfId="2" applyNumberFormat="1" applyFont="1" applyBorder="1" applyAlignment="1">
      <alignment horizontal="center" vertical="center"/>
    </xf>
    <xf numFmtId="44" fontId="45" fillId="0" borderId="10" xfId="59" applyNumberFormat="1" applyFont="1" applyFill="1" applyBorder="1" applyAlignment="1">
      <alignment horizontal="center" vertical="center"/>
    </xf>
    <xf numFmtId="10" fontId="45" fillId="0" borderId="10" xfId="59" applyNumberFormat="1" applyFont="1" applyFill="1" applyBorder="1" applyAlignment="1">
      <alignment horizontal="center" vertical="center"/>
    </xf>
    <xf numFmtId="9" fontId="45" fillId="0" borderId="10" xfId="59" applyNumberFormat="1" applyFont="1" applyFill="1" applyBorder="1" applyAlignment="1">
      <alignment horizontal="center" vertical="center"/>
    </xf>
    <xf numFmtId="9" fontId="45" fillId="0" borderId="10" xfId="60" applyFont="1" applyFill="1" applyBorder="1" applyAlignment="1">
      <alignment horizontal="center" vertical="center"/>
    </xf>
    <xf numFmtId="43" fontId="45" fillId="0" borderId="0" xfId="2" applyNumberFormat="1" applyFont="1" applyAlignment="1">
      <alignment vertical="center"/>
    </xf>
    <xf numFmtId="0" fontId="45" fillId="0" borderId="0" xfId="2" applyFont="1"/>
    <xf numFmtId="0" fontId="47" fillId="33" borderId="10" xfId="2" applyFont="1" applyFill="1" applyBorder="1" applyAlignment="1">
      <alignment horizontal="center" vertical="center" wrapText="1"/>
    </xf>
    <xf numFmtId="0" fontId="48" fillId="33" borderId="10" xfId="2" applyFont="1" applyFill="1" applyBorder="1" applyAlignment="1">
      <alignment horizontal="center" vertical="center" wrapText="1"/>
    </xf>
    <xf numFmtId="43" fontId="49" fillId="0" borderId="0" xfId="2" applyNumberFormat="1" applyFont="1" applyAlignment="1">
      <alignment vertical="center"/>
    </xf>
    <xf numFmtId="0" fontId="31" fillId="0" borderId="15" xfId="2" applyFont="1" applyBorder="1" applyAlignment="1">
      <alignment vertical="center"/>
    </xf>
    <xf numFmtId="0" fontId="31" fillId="0" borderId="11" xfId="2" applyFont="1" applyBorder="1"/>
    <xf numFmtId="44" fontId="31" fillId="0" borderId="11" xfId="2" applyNumberFormat="1" applyFont="1" applyBorder="1"/>
    <xf numFmtId="0" fontId="31" fillId="0" borderId="16" xfId="2" applyFont="1" applyBorder="1"/>
    <xf numFmtId="0" fontId="31" fillId="0" borderId="17" xfId="2" applyFont="1" applyBorder="1" applyAlignment="1">
      <alignment vertical="center"/>
    </xf>
    <xf numFmtId="0" fontId="31" fillId="0" borderId="18" xfId="2" applyFont="1" applyBorder="1"/>
    <xf numFmtId="0" fontId="31" fillId="0" borderId="19" xfId="2" applyFont="1" applyBorder="1"/>
    <xf numFmtId="168" fontId="42" fillId="0" borderId="0" xfId="59" applyNumberFormat="1" applyFont="1" applyAlignment="1">
      <alignment horizontal="center" vertical="center"/>
    </xf>
    <xf numFmtId="168" fontId="24" fillId="0" borderId="0" xfId="59" applyNumberFormat="1" applyFont="1" applyAlignment="1">
      <alignment vertical="center"/>
    </xf>
    <xf numFmtId="168" fontId="43" fillId="0" borderId="0" xfId="59" applyNumberFormat="1" applyFont="1" applyAlignment="1">
      <alignment vertical="center"/>
    </xf>
    <xf numFmtId="0" fontId="43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44" fontId="45" fillId="0" borderId="10" xfId="60" applyNumberFormat="1" applyFont="1" applyFill="1" applyBorder="1" applyAlignment="1">
      <alignment horizontal="right" vertical="center"/>
    </xf>
    <xf numFmtId="44" fontId="46" fillId="0" borderId="10" xfId="60" applyNumberFormat="1" applyFont="1" applyFill="1" applyBorder="1" applyAlignment="1">
      <alignment horizontal="right" vertical="center"/>
    </xf>
    <xf numFmtId="44" fontId="45" fillId="0" borderId="10" xfId="59" applyNumberFormat="1" applyFont="1" applyFill="1" applyBorder="1" applyAlignment="1">
      <alignment horizontal="right" vertical="center"/>
    </xf>
    <xf numFmtId="14" fontId="31" fillId="0" borderId="0" xfId="2" applyNumberFormat="1" applyFont="1" applyAlignment="1">
      <alignment vertical="center"/>
    </xf>
    <xf numFmtId="44" fontId="24" fillId="0" borderId="0" xfId="0" applyNumberFormat="1" applyFont="1"/>
    <xf numFmtId="0" fontId="4" fillId="0" borderId="0" xfId="1" applyAlignment="1" applyProtection="1">
      <alignment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justify" vertical="center" wrapText="1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1"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6FCB68F-4869-4CC6-816A-9587EF3AE5F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57150</xdr:rowOff>
    </xdr:from>
    <xdr:to>
      <xdr:col>1</xdr:col>
      <xdr:colOff>1302385</xdr:colOff>
      <xdr:row>2</xdr:row>
      <xdr:rowOff>221486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47650"/>
          <a:ext cx="1219200" cy="457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</xdr:colOff>
      <xdr:row>53</xdr:row>
      <xdr:rowOff>104774</xdr:rowOff>
    </xdr:from>
    <xdr:to>
      <xdr:col>5</xdr:col>
      <xdr:colOff>1019493</xdr:colOff>
      <xdr:row>76</xdr:row>
      <xdr:rowOff>114297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C00E6A-8FAA-4B38-9B17-72CFEC70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39" y="7038974"/>
          <a:ext cx="5692164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187385ti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aneel.gov.br/cedoc/rea20187408ti.pdf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2.aneel.gov.br/cedoc/rea202211451ti.pdf" TargetMode="External"/><Relationship Id="rId1" Type="http://schemas.openxmlformats.org/officeDocument/2006/relationships/hyperlink" Target="http://www2.aneel.gov.br/cedoc/rea20187409ti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M82"/>
  <sheetViews>
    <sheetView showGridLines="0" tabSelected="1" zoomScale="85" zoomScaleNormal="85" workbookViewId="0">
      <pane xSplit="2" ySplit="7" topLeftCell="C67" activePane="bottomRight" state="frozen"/>
      <selection pane="topRight" activeCell="C1" sqref="C1"/>
      <selection pane="bottomLeft" activeCell="A9" sqref="A9"/>
      <selection pane="bottomRight" activeCell="I78" sqref="I78"/>
    </sheetView>
  </sheetViews>
  <sheetFormatPr defaultColWidth="9.26953125" defaultRowHeight="14.5"/>
  <cols>
    <col min="1" max="1" width="2.7265625" style="1" customWidth="1"/>
    <col min="2" max="2" width="24.453125" style="1" customWidth="1"/>
    <col min="3" max="8" width="23.7265625" style="1" customWidth="1"/>
    <col min="9" max="9" width="24.54296875" style="1" bestFit="1" customWidth="1"/>
    <col min="10" max="10" width="9.26953125" style="1"/>
    <col min="11" max="11" width="13" style="1" bestFit="1" customWidth="1"/>
    <col min="12" max="12" width="9.26953125" style="1"/>
    <col min="13" max="13" width="11" style="1" bestFit="1" customWidth="1"/>
    <col min="14" max="16384" width="9.26953125" style="1"/>
  </cols>
  <sheetData>
    <row r="2" spans="2:9" ht="22.5">
      <c r="C2" s="49" t="s">
        <v>48</v>
      </c>
      <c r="I2" s="48"/>
    </row>
    <row r="3" spans="2:9" ht="22.5">
      <c r="C3" s="49" t="s">
        <v>4</v>
      </c>
      <c r="I3" s="48"/>
    </row>
    <row r="5" spans="2:9" ht="21" customHeight="1">
      <c r="B5" s="89" t="s">
        <v>28</v>
      </c>
      <c r="C5" s="2" t="s">
        <v>45</v>
      </c>
      <c r="D5" s="2" t="s">
        <v>44</v>
      </c>
      <c r="E5" s="2" t="s">
        <v>46</v>
      </c>
      <c r="F5" s="3" t="s">
        <v>47</v>
      </c>
      <c r="G5" s="3"/>
      <c r="H5" s="3"/>
      <c r="I5" s="89" t="s">
        <v>50</v>
      </c>
    </row>
    <row r="6" spans="2:9" ht="21" customHeight="1">
      <c r="B6" s="89"/>
      <c r="C6" s="2" t="s">
        <v>25</v>
      </c>
      <c r="D6" s="2" t="s">
        <v>26</v>
      </c>
      <c r="E6" s="2" t="s">
        <v>27</v>
      </c>
      <c r="F6" s="2" t="s">
        <v>31</v>
      </c>
      <c r="G6" s="2" t="s">
        <v>32</v>
      </c>
      <c r="H6" s="2" t="s">
        <v>29</v>
      </c>
      <c r="I6" s="89"/>
    </row>
    <row r="7" spans="2:9" ht="21" customHeight="1">
      <c r="B7" s="2" t="s">
        <v>49</v>
      </c>
      <c r="C7" s="4">
        <f>REA_7385!D6</f>
        <v>119441737.31999999</v>
      </c>
      <c r="D7" s="4">
        <f>REA_7408!D7</f>
        <v>51560887.630000003</v>
      </c>
      <c r="E7" s="4">
        <f>REA_7409!D7</f>
        <v>210931072.41</v>
      </c>
      <c r="F7" s="4">
        <f>REA_10630!E7</f>
        <v>52628710.630000003</v>
      </c>
      <c r="G7" s="4">
        <f>REA_10630!E8</f>
        <v>82211193.420000002</v>
      </c>
      <c r="H7" s="4">
        <f>REA_10630!E9</f>
        <v>57105364.030000001</v>
      </c>
      <c r="I7" s="89"/>
    </row>
    <row r="8" spans="2:9">
      <c r="B8" s="5">
        <v>43677</v>
      </c>
      <c r="C8" s="6">
        <f>SUMIF(REA_7385!$D:$D,"&lt;="&amp;$B8,REA_7385!$K:$K)</f>
        <v>9111611.8399999999</v>
      </c>
      <c r="D8" s="6">
        <f>SUMIF(REA_7408!$D:$D,"&lt;="&amp;$B8,REA_7408!$AK:$AK)</f>
        <v>0</v>
      </c>
      <c r="E8" s="6">
        <f>SUMIF(REA_7409!$D:$D,"&lt;="&amp;$B8,REA_7409!$W:$W)</f>
        <v>0</v>
      </c>
      <c r="F8" s="6">
        <f>SUMIFS(REA_10630_Fornecedores!$E:$E,REA_10630_Fornecedores!$C:$C,"&lt;="&amp;$B8,REA_10630_Fornecedores!$D:$D,F$6)</f>
        <v>0</v>
      </c>
      <c r="G8" s="6">
        <f>SUMIFS(REA_10630_Fornecedores!$E:$E,REA_10630_Fornecedores!$C:$C,"&lt;="&amp;$B8,REA_10630_Fornecedores!$D:$D,G$6)</f>
        <v>0</v>
      </c>
      <c r="H8" s="6">
        <f>SUMIFS(REA_10630_Fornecedores!$E:$E,REA_10630_Fornecedores!$C:$C,"&lt;="&amp;$B8,REA_10630_Fornecedores!$D:$D,H$6)</f>
        <v>0</v>
      </c>
      <c r="I8" s="6">
        <f t="shared" ref="I8:I23" si="0">SUM(C8:C8)</f>
        <v>9111611.8399999999</v>
      </c>
    </row>
    <row r="9" spans="2:9">
      <c r="B9" s="5">
        <v>43708</v>
      </c>
      <c r="C9" s="6">
        <f>SUMIF(REA_7385!$D:$D,"&lt;="&amp;$B9,REA_7385!$K:$K)-SUM(C$8:C8)</f>
        <v>0</v>
      </c>
      <c r="D9" s="6">
        <f>SUMIF(REA_7408!$D:$D,"&lt;="&amp;$B9,REA_7408!$AK:$AK)-SUM(D$8:D8)</f>
        <v>0</v>
      </c>
      <c r="E9" s="6">
        <f>SUMIF(REA_7409!$D:$D,"&lt;="&amp;$B9,REA_7409!$W:$W)-SUM(E$8:E8)</f>
        <v>0</v>
      </c>
      <c r="F9" s="6">
        <f>SUMIFS(REA_10630_Fornecedores!$E:$E,REA_10630_Fornecedores!$C:$C,"&lt;="&amp;$B9,REA_10630_Fornecedores!$D:$D,F$6)-SUM(F$8:F8)</f>
        <v>0</v>
      </c>
      <c r="G9" s="6">
        <f>SUMIFS(REA_10630_Fornecedores!$E:$E,REA_10630_Fornecedores!$C:$C,"&lt;="&amp;$B9,REA_10630_Fornecedores!$D:$D,G$6)-SUM(G$8:G8)</f>
        <v>0</v>
      </c>
      <c r="H9" s="6">
        <f>SUMIFS(REA_10630_Fornecedores!$E:$E,REA_10630_Fornecedores!$C:$C,"&lt;="&amp;$B9,REA_10630_Fornecedores!$D:$D,H$6)-SUM(H$8:H8)</f>
        <v>0</v>
      </c>
      <c r="I9" s="6">
        <f t="shared" si="0"/>
        <v>0</v>
      </c>
    </row>
    <row r="10" spans="2:9">
      <c r="B10" s="5">
        <v>43738</v>
      </c>
      <c r="C10" s="6">
        <f>SUMIF(REA_7385!$D:$D,"&lt;="&amp;$B10,REA_7385!$K:$K)-SUM(C$8:C9)</f>
        <v>846795.94999999925</v>
      </c>
      <c r="D10" s="6">
        <f>SUMIF(REA_7408!$D:$D,"&lt;="&amp;$B10,REA_7408!$AK:$AK)-SUM(D$8:D9)</f>
        <v>0</v>
      </c>
      <c r="E10" s="6">
        <f>SUMIF(REA_7409!$D:$D,"&lt;="&amp;$B10,REA_7409!$W:$W)-SUM(E$8:E9)</f>
        <v>0</v>
      </c>
      <c r="F10" s="6">
        <f>SUMIFS(REA_10630_Fornecedores!$E:$E,REA_10630_Fornecedores!$C:$C,"&lt;="&amp;$B10,REA_10630_Fornecedores!$D:$D,F$6)-SUM(F$8:F9)</f>
        <v>0</v>
      </c>
      <c r="G10" s="6">
        <f>SUMIFS(REA_10630_Fornecedores!$E:$E,REA_10630_Fornecedores!$C:$C,"&lt;="&amp;$B10,REA_10630_Fornecedores!$D:$D,G$6)-SUM(G$8:G9)</f>
        <v>0</v>
      </c>
      <c r="H10" s="6">
        <f>SUMIFS(REA_10630_Fornecedores!$E:$E,REA_10630_Fornecedores!$C:$C,"&lt;="&amp;$B10,REA_10630_Fornecedores!$D:$D,H$6)-SUM(H$8:H9)</f>
        <v>0</v>
      </c>
      <c r="I10" s="6">
        <f t="shared" si="0"/>
        <v>846795.94999999925</v>
      </c>
    </row>
    <row r="11" spans="2:9">
      <c r="B11" s="5">
        <v>43769</v>
      </c>
      <c r="C11" s="6">
        <f>SUMIF(REA_7385!$D:$D,"&lt;="&amp;$B11,REA_7385!$K:$K)-SUM(C$8:C10)</f>
        <v>4696589.76</v>
      </c>
      <c r="D11" s="6">
        <f>SUMIF(REA_7408!$D:$D,"&lt;="&amp;$B11,REA_7408!$AK:$AK)-SUM(D$8:D10)</f>
        <v>0</v>
      </c>
      <c r="E11" s="6">
        <f>SUMIF(REA_7409!$D:$D,"&lt;="&amp;$B11,REA_7409!$W:$W)-SUM(E$8:E10)</f>
        <v>0</v>
      </c>
      <c r="F11" s="6">
        <f>SUMIFS(REA_10630_Fornecedores!$E:$E,REA_10630_Fornecedores!$C:$C,"&lt;="&amp;$B11,REA_10630_Fornecedores!$D:$D,F$6)-SUM(F$8:F10)</f>
        <v>0</v>
      </c>
      <c r="G11" s="6">
        <f>SUMIFS(REA_10630_Fornecedores!$E:$E,REA_10630_Fornecedores!$C:$C,"&lt;="&amp;$B11,REA_10630_Fornecedores!$D:$D,G$6)-SUM(G$8:G10)</f>
        <v>0</v>
      </c>
      <c r="H11" s="6">
        <f>SUMIFS(REA_10630_Fornecedores!$E:$E,REA_10630_Fornecedores!$C:$C,"&lt;="&amp;$B11,REA_10630_Fornecedores!$D:$D,H$6)-SUM(H$8:H10)</f>
        <v>0</v>
      </c>
      <c r="I11" s="6">
        <f t="shared" si="0"/>
        <v>4696589.76</v>
      </c>
    </row>
    <row r="12" spans="2:9">
      <c r="B12" s="5">
        <v>43799</v>
      </c>
      <c r="C12" s="6">
        <f>SUMIF(REA_7385!$D:$D,"&lt;="&amp;$B12,REA_7385!$K:$K)-SUM(C$8:C11)</f>
        <v>0</v>
      </c>
      <c r="D12" s="6">
        <f>SUMIF(REA_7408!$D:$D,"&lt;="&amp;$B12,REA_7408!$AK:$AK)-SUM(D$8:D11)</f>
        <v>0</v>
      </c>
      <c r="E12" s="6">
        <f>SUMIF(REA_7409!$D:$D,"&lt;="&amp;$B12,REA_7409!$W:$W)-SUM(E$8:E11)</f>
        <v>0</v>
      </c>
      <c r="F12" s="6">
        <f>SUMIFS(REA_10630_Fornecedores!$E:$E,REA_10630_Fornecedores!$C:$C,"&lt;="&amp;$B12,REA_10630_Fornecedores!$D:$D,F$6)-SUM(F$8:F11)</f>
        <v>0</v>
      </c>
      <c r="G12" s="6">
        <f>SUMIFS(REA_10630_Fornecedores!$E:$E,REA_10630_Fornecedores!$C:$C,"&lt;="&amp;$B12,REA_10630_Fornecedores!$D:$D,G$6)-SUM(G$8:G11)</f>
        <v>0</v>
      </c>
      <c r="H12" s="6">
        <f>SUMIFS(REA_10630_Fornecedores!$E:$E,REA_10630_Fornecedores!$C:$C,"&lt;="&amp;$B12,REA_10630_Fornecedores!$D:$D,H$6)-SUM(H$8:H11)</f>
        <v>0</v>
      </c>
      <c r="I12" s="6">
        <f t="shared" si="0"/>
        <v>0</v>
      </c>
    </row>
    <row r="13" spans="2:9">
      <c r="B13" s="5">
        <v>43830</v>
      </c>
      <c r="C13" s="6">
        <f>SUMIF(REA_7385!$D:$D,"&lt;="&amp;$B13,REA_7385!$K:$K)-SUM(C$8:C12)</f>
        <v>4086053.3499999996</v>
      </c>
      <c r="D13" s="6">
        <f>SUMIF(REA_7408!$D:$D,"&lt;="&amp;$B13,REA_7408!$AK:$AK)-SUM(D$8:D12)</f>
        <v>0</v>
      </c>
      <c r="E13" s="6">
        <f>SUMIF(REA_7409!$D:$D,"&lt;="&amp;$B13,REA_7409!$W:$W)-SUM(E$8:E12)</f>
        <v>0</v>
      </c>
      <c r="F13" s="6">
        <f>SUMIFS(REA_10630_Fornecedores!$E:$E,REA_10630_Fornecedores!$C:$C,"&lt;="&amp;$B13,REA_10630_Fornecedores!$D:$D,F$6)-SUM(F$8:F12)</f>
        <v>0</v>
      </c>
      <c r="G13" s="6">
        <f>SUMIFS(REA_10630_Fornecedores!$E:$E,REA_10630_Fornecedores!$C:$C,"&lt;="&amp;$B13,REA_10630_Fornecedores!$D:$D,G$6)-SUM(G$8:G12)</f>
        <v>0</v>
      </c>
      <c r="H13" s="6">
        <f>SUMIFS(REA_10630_Fornecedores!$E:$E,REA_10630_Fornecedores!$C:$C,"&lt;="&amp;$B13,REA_10630_Fornecedores!$D:$D,H$6)-SUM(H$8:H12)</f>
        <v>0</v>
      </c>
      <c r="I13" s="6">
        <f t="shared" si="0"/>
        <v>4086053.3499999996</v>
      </c>
    </row>
    <row r="14" spans="2:9">
      <c r="B14" s="5">
        <v>43861</v>
      </c>
      <c r="C14" s="6">
        <f>SUMIF(REA_7385!$D:$D,"&lt;="&amp;$B14,REA_7385!$K:$K)-SUM(C$8:C13)</f>
        <v>0</v>
      </c>
      <c r="D14" s="6">
        <f>SUMIF(REA_7408!$D:$D,"&lt;="&amp;$B14,REA_7408!$AK:$AK)-SUM(D$8:D13)</f>
        <v>0</v>
      </c>
      <c r="E14" s="6">
        <f>SUMIF(REA_7409!$D:$D,"&lt;="&amp;$B14,REA_7409!$W:$W)-SUM(E$8:E13)</f>
        <v>0</v>
      </c>
      <c r="F14" s="6">
        <f>SUMIFS(REA_10630_Fornecedores!$E:$E,REA_10630_Fornecedores!$C:$C,"&lt;="&amp;$B14,REA_10630_Fornecedores!$D:$D,F$6)-SUM(F$8:F13)</f>
        <v>0</v>
      </c>
      <c r="G14" s="6">
        <f>SUMIFS(REA_10630_Fornecedores!$E:$E,REA_10630_Fornecedores!$C:$C,"&lt;="&amp;$B14,REA_10630_Fornecedores!$D:$D,G$6)-SUM(G$8:G13)</f>
        <v>0</v>
      </c>
      <c r="H14" s="6">
        <f>SUMIFS(REA_10630_Fornecedores!$E:$E,REA_10630_Fornecedores!$C:$C,"&lt;="&amp;$B14,REA_10630_Fornecedores!$D:$D,H$6)-SUM(H$8:H13)</f>
        <v>0</v>
      </c>
      <c r="I14" s="6">
        <f t="shared" si="0"/>
        <v>0</v>
      </c>
    </row>
    <row r="15" spans="2:9">
      <c r="B15" s="5">
        <v>43890</v>
      </c>
      <c r="C15" s="6">
        <f>SUMIF(REA_7385!$D:$D,"&lt;="&amp;$B15,REA_7385!$K:$K)-SUM(C$8:C14)</f>
        <v>4787132.0199999996</v>
      </c>
      <c r="D15" s="6">
        <f>SUMIF(REA_7408!$D:$D,"&lt;="&amp;$B15,REA_7408!$AK:$AK)-SUM(D$8:D14)</f>
        <v>0</v>
      </c>
      <c r="E15" s="6">
        <f>SUMIF(REA_7409!$D:$D,"&lt;="&amp;$B15,REA_7409!$W:$W)-SUM(E$8:E14)</f>
        <v>0</v>
      </c>
      <c r="F15" s="6">
        <f>SUMIFS(REA_10630_Fornecedores!$E:$E,REA_10630_Fornecedores!$C:$C,"&lt;="&amp;$B15,REA_10630_Fornecedores!$D:$D,F$6)-SUM(F$8:F14)</f>
        <v>0</v>
      </c>
      <c r="G15" s="6">
        <f>SUMIFS(REA_10630_Fornecedores!$E:$E,REA_10630_Fornecedores!$C:$C,"&lt;="&amp;$B15,REA_10630_Fornecedores!$D:$D,G$6)-SUM(G$8:G14)</f>
        <v>0</v>
      </c>
      <c r="H15" s="6">
        <f>SUMIFS(REA_10630_Fornecedores!$E:$E,REA_10630_Fornecedores!$C:$C,"&lt;="&amp;$B15,REA_10630_Fornecedores!$D:$D,H$6)-SUM(H$8:H14)</f>
        <v>0</v>
      </c>
      <c r="I15" s="6">
        <f t="shared" si="0"/>
        <v>4787132.0199999996</v>
      </c>
    </row>
    <row r="16" spans="2:9">
      <c r="B16" s="5">
        <v>43921</v>
      </c>
      <c r="C16" s="6">
        <f>SUMIF(REA_7385!$D:$D,"&lt;="&amp;$B16,REA_7385!$K:$K)-SUM(C$8:C15)</f>
        <v>4381994.7800000049</v>
      </c>
      <c r="D16" s="6">
        <f>SUMIF(REA_7408!$D:$D,"&lt;="&amp;$B16,REA_7408!$AK:$AK)-SUM(D$8:D15)</f>
        <v>0</v>
      </c>
      <c r="E16" s="6">
        <f>SUMIF(REA_7409!$D:$D,"&lt;="&amp;$B16,REA_7409!$W:$W)-SUM(E$8:E15)</f>
        <v>0</v>
      </c>
      <c r="F16" s="6">
        <f>SUMIFS(REA_10630_Fornecedores!$E:$E,REA_10630_Fornecedores!$C:$C,"&lt;="&amp;$B16,REA_10630_Fornecedores!$D:$D,F$6)-SUM(F$8:F15)</f>
        <v>0</v>
      </c>
      <c r="G16" s="6">
        <f>SUMIFS(REA_10630_Fornecedores!$E:$E,REA_10630_Fornecedores!$C:$C,"&lt;="&amp;$B16,REA_10630_Fornecedores!$D:$D,G$6)-SUM(G$8:G15)</f>
        <v>0</v>
      </c>
      <c r="H16" s="6">
        <f>SUMIFS(REA_10630_Fornecedores!$E:$E,REA_10630_Fornecedores!$C:$C,"&lt;="&amp;$B16,REA_10630_Fornecedores!$D:$D,H$6)-SUM(H$8:H15)</f>
        <v>0</v>
      </c>
      <c r="I16" s="6">
        <f t="shared" si="0"/>
        <v>4381994.7800000049</v>
      </c>
    </row>
    <row r="17" spans="2:9">
      <c r="B17" s="5">
        <v>43951</v>
      </c>
      <c r="C17" s="6">
        <f>SUMIF(REA_7385!$D:$D,"&lt;="&amp;$B17,REA_7385!$K:$K)-SUM(C$8:C16)</f>
        <v>11068532.630000003</v>
      </c>
      <c r="D17" s="6">
        <f>SUMIF(REA_7408!$D:$D,"&lt;="&amp;$B17,REA_7408!$AK:$AK)-SUM(D$8:D16)</f>
        <v>0</v>
      </c>
      <c r="E17" s="6">
        <f>SUMIF(REA_7409!$D:$D,"&lt;="&amp;$B17,REA_7409!$W:$W)-SUM(E$8:E16)</f>
        <v>0</v>
      </c>
      <c r="F17" s="6">
        <f>SUMIFS(REA_10630_Fornecedores!$E:$E,REA_10630_Fornecedores!$C:$C,"&lt;="&amp;$B17,REA_10630_Fornecedores!$D:$D,F$6)-SUM(F$8:F16)</f>
        <v>0</v>
      </c>
      <c r="G17" s="6">
        <f>SUMIFS(REA_10630_Fornecedores!$E:$E,REA_10630_Fornecedores!$C:$C,"&lt;="&amp;$B17,REA_10630_Fornecedores!$D:$D,G$6)-SUM(G$8:G16)</f>
        <v>0</v>
      </c>
      <c r="H17" s="6">
        <f>SUMIFS(REA_10630_Fornecedores!$E:$E,REA_10630_Fornecedores!$C:$C,"&lt;="&amp;$B17,REA_10630_Fornecedores!$D:$D,H$6)-SUM(H$8:H16)</f>
        <v>0</v>
      </c>
      <c r="I17" s="6">
        <f t="shared" si="0"/>
        <v>11068532.630000003</v>
      </c>
    </row>
    <row r="18" spans="2:9">
      <c r="B18" s="5">
        <v>43982</v>
      </c>
      <c r="C18" s="6">
        <f>SUMIF(REA_7385!$D:$D,"&lt;="&amp;$B18,REA_7385!$K:$K)-SUM(C$8:C17)</f>
        <v>2668206.3099999949</v>
      </c>
      <c r="D18" s="6">
        <f>SUMIF(REA_7408!$D:$D,"&lt;="&amp;$B18,REA_7408!$AK:$AK)-SUM(D$8:D17)</f>
        <v>0</v>
      </c>
      <c r="E18" s="6">
        <f>SUMIF(REA_7409!$D:$D,"&lt;="&amp;$B18,REA_7409!$W:$W)-SUM(E$8:E17)</f>
        <v>0</v>
      </c>
      <c r="F18" s="6">
        <f>SUMIFS(REA_10630_Fornecedores!$E:$E,REA_10630_Fornecedores!$C:$C,"&lt;="&amp;$B18,REA_10630_Fornecedores!$D:$D,F$6)-SUM(F$8:F17)</f>
        <v>0</v>
      </c>
      <c r="G18" s="6">
        <f>SUMIFS(REA_10630_Fornecedores!$E:$E,REA_10630_Fornecedores!$C:$C,"&lt;="&amp;$B18,REA_10630_Fornecedores!$D:$D,G$6)-SUM(G$8:G17)</f>
        <v>0</v>
      </c>
      <c r="H18" s="6">
        <f>SUMIFS(REA_10630_Fornecedores!$E:$E,REA_10630_Fornecedores!$C:$C,"&lt;="&amp;$B18,REA_10630_Fornecedores!$D:$D,H$6)-SUM(H$8:H17)</f>
        <v>0</v>
      </c>
      <c r="I18" s="6">
        <f t="shared" si="0"/>
        <v>2668206.3099999949</v>
      </c>
    </row>
    <row r="19" spans="2:9">
      <c r="B19" s="5">
        <v>44012</v>
      </c>
      <c r="C19" s="6">
        <f>SUMIF(REA_7385!$D:$D,"&lt;="&amp;$B19,REA_7385!$K:$K)-SUM(C$8:C18)</f>
        <v>9077708.2199999988</v>
      </c>
      <c r="D19" s="6">
        <f>SUMIF(REA_7408!$D:$D,"&lt;="&amp;$B19,REA_7408!$AK:$AK)-SUM(D$8:D18)</f>
        <v>0</v>
      </c>
      <c r="E19" s="6">
        <f>SUMIF(REA_7409!$D:$D,"&lt;="&amp;$B19,REA_7409!$W:$W)-SUM(E$8:E18)</f>
        <v>0</v>
      </c>
      <c r="F19" s="6">
        <f>SUMIFS(REA_10630_Fornecedores!$E:$E,REA_10630_Fornecedores!$C:$C,"&lt;="&amp;$B19,REA_10630_Fornecedores!$D:$D,F$6)-SUM(F$8:F18)</f>
        <v>0</v>
      </c>
      <c r="G19" s="6">
        <f>SUMIFS(REA_10630_Fornecedores!$E:$E,REA_10630_Fornecedores!$C:$C,"&lt;="&amp;$B19,REA_10630_Fornecedores!$D:$D,G$6)-SUM(G$8:G18)</f>
        <v>0</v>
      </c>
      <c r="H19" s="6">
        <f>SUMIFS(REA_10630_Fornecedores!$E:$E,REA_10630_Fornecedores!$C:$C,"&lt;="&amp;$B19,REA_10630_Fornecedores!$D:$D,H$6)-SUM(H$8:H18)</f>
        <v>0</v>
      </c>
      <c r="I19" s="6">
        <f t="shared" si="0"/>
        <v>9077708.2199999988</v>
      </c>
    </row>
    <row r="20" spans="2:9">
      <c r="B20" s="5">
        <v>44043</v>
      </c>
      <c r="C20" s="6">
        <f>SUMIF(REA_7385!$D:$D,"&lt;="&amp;$B20,REA_7385!$K:$K)-SUM(C$8:C19)</f>
        <v>2948475.650000006</v>
      </c>
      <c r="D20" s="6">
        <f>SUMIF(REA_7408!$D:$D,"&lt;="&amp;$B20,REA_7408!$AK:$AK)-SUM(D$8:D19)</f>
        <v>0</v>
      </c>
      <c r="E20" s="6">
        <f>SUMIF(REA_7409!$D:$D,"&lt;="&amp;$B20,REA_7409!$W:$W)-SUM(E$8:E19)</f>
        <v>0</v>
      </c>
      <c r="F20" s="6">
        <f>SUMIFS(REA_10630_Fornecedores!$E:$E,REA_10630_Fornecedores!$C:$C,"&lt;="&amp;$B20,REA_10630_Fornecedores!$D:$D,F$6)-SUM(F$8:F19)</f>
        <v>0</v>
      </c>
      <c r="G20" s="6">
        <f>SUMIFS(REA_10630_Fornecedores!$E:$E,REA_10630_Fornecedores!$C:$C,"&lt;="&amp;$B20,REA_10630_Fornecedores!$D:$D,G$6)-SUM(G$8:G19)</f>
        <v>0</v>
      </c>
      <c r="H20" s="6">
        <f>SUMIFS(REA_10630_Fornecedores!$E:$E,REA_10630_Fornecedores!$C:$C,"&lt;="&amp;$B20,REA_10630_Fornecedores!$D:$D,H$6)-SUM(H$8:H19)</f>
        <v>0</v>
      </c>
      <c r="I20" s="6">
        <f t="shared" si="0"/>
        <v>2948475.650000006</v>
      </c>
    </row>
    <row r="21" spans="2:9">
      <c r="B21" s="5">
        <v>44074</v>
      </c>
      <c r="C21" s="6">
        <f>SUMIF(REA_7385!$D:$D,"&lt;="&amp;$B21,REA_7385!$K:$K)-SUM(C$8:C20)</f>
        <v>2886371.5799999982</v>
      </c>
      <c r="D21" s="6">
        <f>SUMIF(REA_7408!$D:$D,"&lt;="&amp;$B21,REA_7408!$AK:$AK)-SUM(D$8:D20)</f>
        <v>0</v>
      </c>
      <c r="E21" s="6">
        <f>SUMIF(REA_7409!$D:$D,"&lt;="&amp;$B21,REA_7409!$W:$W)-SUM(E$8:E20)</f>
        <v>0</v>
      </c>
      <c r="F21" s="6">
        <f>SUMIFS(REA_10630_Fornecedores!$E:$E,REA_10630_Fornecedores!$C:$C,"&lt;="&amp;$B21,REA_10630_Fornecedores!$D:$D,F$6)-SUM(F$8:F20)</f>
        <v>0</v>
      </c>
      <c r="G21" s="6">
        <f>SUMIFS(REA_10630_Fornecedores!$E:$E,REA_10630_Fornecedores!$C:$C,"&lt;="&amp;$B21,REA_10630_Fornecedores!$D:$D,G$6)-SUM(G$8:G20)</f>
        <v>0</v>
      </c>
      <c r="H21" s="6">
        <f>SUMIFS(REA_10630_Fornecedores!$E:$E,REA_10630_Fornecedores!$C:$C,"&lt;="&amp;$B21,REA_10630_Fornecedores!$D:$D,H$6)-SUM(H$8:H20)</f>
        <v>0</v>
      </c>
      <c r="I21" s="6">
        <f t="shared" si="0"/>
        <v>2886371.5799999982</v>
      </c>
    </row>
    <row r="22" spans="2:9">
      <c r="B22" s="5">
        <v>44104</v>
      </c>
      <c r="C22" s="6">
        <f>SUMIF(REA_7385!$D:$D,"&lt;="&amp;$B22,REA_7385!$K:$K)-SUM(C$8:C21)</f>
        <v>7220242.9899999946</v>
      </c>
      <c r="D22" s="6">
        <f>SUMIF(REA_7408!$D:$D,"&lt;="&amp;$B22,REA_7408!$AK:$AK)-SUM(D$8:D21)</f>
        <v>0</v>
      </c>
      <c r="E22" s="6">
        <f>SUMIF(REA_7409!$D:$D,"&lt;="&amp;$B22,REA_7409!$W:$W)-SUM(E$8:E21)</f>
        <v>0</v>
      </c>
      <c r="F22" s="6">
        <f>SUMIFS(REA_10630_Fornecedores!$E:$E,REA_10630_Fornecedores!$C:$C,"&lt;="&amp;$B22,REA_10630_Fornecedores!$D:$D,F$6)-SUM(F$8:F21)</f>
        <v>0</v>
      </c>
      <c r="G22" s="6">
        <f>SUMIFS(REA_10630_Fornecedores!$E:$E,REA_10630_Fornecedores!$C:$C,"&lt;="&amp;$B22,REA_10630_Fornecedores!$D:$D,G$6)-SUM(G$8:G21)</f>
        <v>0</v>
      </c>
      <c r="H22" s="6">
        <f>SUMIFS(REA_10630_Fornecedores!$E:$E,REA_10630_Fornecedores!$C:$C,"&lt;="&amp;$B22,REA_10630_Fornecedores!$D:$D,H$6)-SUM(H$8:H21)</f>
        <v>0</v>
      </c>
      <c r="I22" s="6">
        <f t="shared" si="0"/>
        <v>7220242.9899999946</v>
      </c>
    </row>
    <row r="23" spans="2:9">
      <c r="B23" s="5">
        <v>44135</v>
      </c>
      <c r="C23" s="6">
        <f>SUMIF(REA_7385!$D:$D,"&lt;="&amp;$B23,REA_7385!$K:$K)-SUM(C$8:C22)</f>
        <v>3530391.7800000012</v>
      </c>
      <c r="D23" s="6">
        <f>SUMIF(REA_7408!$D:$D,"&lt;="&amp;$B23,REA_7408!$AK:$AK)-SUM(D$8:D22)</f>
        <v>0</v>
      </c>
      <c r="E23" s="6">
        <f>SUMIF(REA_7409!$D:$D,"&lt;="&amp;$B23,REA_7409!$W:$W)-SUM(E$8:E22)</f>
        <v>0</v>
      </c>
      <c r="F23" s="6">
        <f>SUMIFS(REA_10630_Fornecedores!$E:$E,REA_10630_Fornecedores!$C:$C,"&lt;="&amp;$B23,REA_10630_Fornecedores!$D:$D,F$6)-SUM(F$8:F22)</f>
        <v>0</v>
      </c>
      <c r="G23" s="6">
        <f>SUMIFS(REA_10630_Fornecedores!$E:$E,REA_10630_Fornecedores!$C:$C,"&lt;="&amp;$B23,REA_10630_Fornecedores!$D:$D,G$6)-SUM(G$8:G22)</f>
        <v>0</v>
      </c>
      <c r="H23" s="6">
        <f>SUMIFS(REA_10630_Fornecedores!$E:$E,REA_10630_Fornecedores!$C:$C,"&lt;="&amp;$B23,REA_10630_Fornecedores!$D:$D,H$6)-SUM(H$8:H22)</f>
        <v>0</v>
      </c>
      <c r="I23" s="6">
        <f t="shared" si="0"/>
        <v>3530391.7800000012</v>
      </c>
    </row>
    <row r="24" spans="2:9">
      <c r="B24" s="5">
        <v>44165</v>
      </c>
      <c r="C24" s="6">
        <f>SUMIF(REA_7385!$D:$D,"&lt;="&amp;$B24,REA_7385!$K:$K)-SUM(C$8:C23)</f>
        <v>6178846.0900000185</v>
      </c>
      <c r="D24" s="6">
        <f>SUMIF(REA_7408!$D:$D,"&lt;="&amp;$B24,REA_7408!$AK:$AK)-SUM(D$8:D23)</f>
        <v>0</v>
      </c>
      <c r="E24" s="6">
        <f>SUMIF(REA_7409!$D:$D,"&lt;="&amp;$B24,REA_7409!$W:$W)-SUM(E$8:E23)</f>
        <v>0</v>
      </c>
      <c r="F24" s="6">
        <f>SUMIFS(REA_10630_Fornecedores!$E:$E,REA_10630_Fornecedores!$C:$C,"&lt;="&amp;$B24,REA_10630_Fornecedores!$D:$D,F$6)-SUM(F$8:F23)</f>
        <v>0</v>
      </c>
      <c r="G24" s="6">
        <f>SUMIFS(REA_10630_Fornecedores!$E:$E,REA_10630_Fornecedores!$C:$C,"&lt;="&amp;$B24,REA_10630_Fornecedores!$D:$D,G$6)-SUM(G$8:G23)</f>
        <v>0</v>
      </c>
      <c r="H24" s="6">
        <f>SUMIFS(REA_10630_Fornecedores!$E:$E,REA_10630_Fornecedores!$C:$C,"&lt;="&amp;$B24,REA_10630_Fornecedores!$D:$D,H$6)-SUM(H$8:H23)</f>
        <v>0</v>
      </c>
      <c r="I24" s="6">
        <f>SUM(C24:H24)</f>
        <v>6178846.0900000185</v>
      </c>
    </row>
    <row r="25" spans="2:9">
      <c r="B25" s="5">
        <v>44196</v>
      </c>
      <c r="C25" s="6">
        <f>SUMIF(REA_7385!$D:$D,"&lt;="&amp;$B25,REA_7385!$K:$K)-SUM(C$8:C24)</f>
        <v>3949898.4200000018</v>
      </c>
      <c r="D25" s="6">
        <f>SUMIF(REA_7408!$D:$D,"&lt;="&amp;$B25,REA_7408!$AK:$AK)-SUM(D$8:D24)</f>
        <v>0</v>
      </c>
      <c r="E25" s="6">
        <f>SUMIF(REA_7409!$D:$D,"&lt;="&amp;$B25,REA_7409!$W:$W)-SUM(E$8:E24)</f>
        <v>0</v>
      </c>
      <c r="F25" s="6">
        <f>SUMIFS(REA_10630_Fornecedores!$E:$E,REA_10630_Fornecedores!$C:$C,"&lt;="&amp;$B25,REA_10630_Fornecedores!$D:$D,F$6)-SUM(F$8:F24)</f>
        <v>0</v>
      </c>
      <c r="G25" s="6">
        <f>SUMIFS(REA_10630_Fornecedores!$E:$E,REA_10630_Fornecedores!$C:$C,"&lt;="&amp;$B25,REA_10630_Fornecedores!$D:$D,G$6)-SUM(G$8:G24)</f>
        <v>0</v>
      </c>
      <c r="H25" s="6">
        <f>SUMIFS(REA_10630_Fornecedores!$E:$E,REA_10630_Fornecedores!$C:$C,"&lt;="&amp;$B25,REA_10630_Fornecedores!$D:$D,H$6)-SUM(H$8:H24)</f>
        <v>0</v>
      </c>
      <c r="I25" s="6">
        <f t="shared" ref="I25:I76" si="1">SUM(C25:H25)</f>
        <v>3949898.4200000018</v>
      </c>
    </row>
    <row r="26" spans="2:9">
      <c r="B26" s="5">
        <v>44227</v>
      </c>
      <c r="C26" s="6">
        <f>SUMIF(REA_7385!$D:$D,"&lt;="&amp;$B26,REA_7385!$K:$K)-SUM(C$8:C25)</f>
        <v>0</v>
      </c>
      <c r="D26" s="6">
        <f>SUMIF(REA_7408!$D:$D,"&lt;="&amp;$B26,REA_7408!$AK:$AK)-SUM(D$8:D25)</f>
        <v>0</v>
      </c>
      <c r="E26" s="6">
        <f>SUMIF(REA_7409!$D:$D,"&lt;="&amp;$B26,REA_7409!$W:$W)-SUM(E$8:E25)</f>
        <v>0</v>
      </c>
      <c r="F26" s="6">
        <f>SUMIFS(REA_10630_Fornecedores!$E:$E,REA_10630_Fornecedores!$C:$C,"&lt;="&amp;$B26,REA_10630_Fornecedores!$D:$D,F$6)-SUM(F$8:F25)</f>
        <v>0</v>
      </c>
      <c r="G26" s="6">
        <f>SUMIFS(REA_10630_Fornecedores!$E:$E,REA_10630_Fornecedores!$C:$C,"&lt;="&amp;$B26,REA_10630_Fornecedores!$D:$D,G$6)-SUM(G$8:G25)</f>
        <v>0</v>
      </c>
      <c r="H26" s="6">
        <f>SUMIFS(REA_10630_Fornecedores!$E:$E,REA_10630_Fornecedores!$C:$C,"&lt;="&amp;$B26,REA_10630_Fornecedores!$D:$D,H$6)-SUM(H$8:H25)</f>
        <v>0</v>
      </c>
      <c r="I26" s="6">
        <f t="shared" si="1"/>
        <v>0</v>
      </c>
    </row>
    <row r="27" spans="2:9">
      <c r="B27" s="5">
        <v>44255</v>
      </c>
      <c r="C27" s="6">
        <f>SUMIF(REA_7385!$D:$D,"&lt;="&amp;$B27,REA_7385!$K:$K)-SUM(C$8:C26)</f>
        <v>11904683.910000011</v>
      </c>
      <c r="D27" s="6">
        <f>SUMIF(REA_7408!$D:$D,"&lt;="&amp;$B27,REA_7408!$AK:$AK)-SUM(D$8:D26)</f>
        <v>0</v>
      </c>
      <c r="E27" s="6">
        <f>SUMIF(REA_7409!$D:$D,"&lt;="&amp;$B27,REA_7409!$W:$W)-SUM(E$8:E26)</f>
        <v>0</v>
      </c>
      <c r="F27" s="6">
        <f>SUMIFS(REA_10630_Fornecedores!$E:$E,REA_10630_Fornecedores!$C:$C,"&lt;="&amp;$B27,REA_10630_Fornecedores!$D:$D,F$6)-SUM(F$8:F26)</f>
        <v>0</v>
      </c>
      <c r="G27" s="6">
        <f>SUMIFS(REA_10630_Fornecedores!$E:$E,REA_10630_Fornecedores!$C:$C,"&lt;="&amp;$B27,REA_10630_Fornecedores!$D:$D,G$6)-SUM(G$8:G26)</f>
        <v>0</v>
      </c>
      <c r="H27" s="6">
        <f>SUMIFS(REA_10630_Fornecedores!$E:$E,REA_10630_Fornecedores!$C:$C,"&lt;="&amp;$B27,REA_10630_Fornecedores!$D:$D,H$6)-SUM(H$8:H26)</f>
        <v>0</v>
      </c>
      <c r="I27" s="6">
        <f t="shared" si="1"/>
        <v>11904683.910000011</v>
      </c>
    </row>
    <row r="28" spans="2:9">
      <c r="B28" s="5">
        <v>44286</v>
      </c>
      <c r="C28" s="6">
        <f>SUMIF(REA_7385!$D:$D,"&lt;="&amp;$B28,REA_7385!$K:$K)-SUM(C$8:C27)</f>
        <v>8274436.8199999928</v>
      </c>
      <c r="D28" s="6">
        <f>SUMIF(REA_7408!$D:$D,"&lt;="&amp;$B28,REA_7408!$AK:$AK)-SUM(D$8:D27)</f>
        <v>0</v>
      </c>
      <c r="E28" s="6">
        <f>SUMIF(REA_7409!$D:$D,"&lt;="&amp;$B28,REA_7409!$W:$W)-SUM(E$8:E27)</f>
        <v>0</v>
      </c>
      <c r="F28" s="6">
        <f>SUMIFS(REA_10630_Fornecedores!$E:$E,REA_10630_Fornecedores!$C:$C,"&lt;="&amp;$B28,REA_10630_Fornecedores!$D:$D,F$6)-SUM(F$8:F27)</f>
        <v>0</v>
      </c>
      <c r="G28" s="6">
        <f>SUMIFS(REA_10630_Fornecedores!$E:$E,REA_10630_Fornecedores!$C:$C,"&lt;="&amp;$B28,REA_10630_Fornecedores!$D:$D,G$6)-SUM(G$8:G27)</f>
        <v>0</v>
      </c>
      <c r="H28" s="6">
        <f>SUMIFS(REA_10630_Fornecedores!$E:$E,REA_10630_Fornecedores!$C:$C,"&lt;="&amp;$B28,REA_10630_Fornecedores!$D:$D,H$6)-SUM(H$8:H27)</f>
        <v>0</v>
      </c>
      <c r="I28" s="6">
        <f t="shared" si="1"/>
        <v>8274436.8199999928</v>
      </c>
    </row>
    <row r="29" spans="2:9">
      <c r="B29" s="5">
        <v>44316</v>
      </c>
      <c r="C29" s="6">
        <f>SUMIF(REA_7385!$D:$D,"&lt;="&amp;$B29,REA_7385!$K:$K)-SUM(C$8:C28)</f>
        <v>0</v>
      </c>
      <c r="D29" s="6">
        <f>SUMIF(REA_7408!$D:$D,"&lt;="&amp;$B29,REA_7408!$AK:$AK)-SUM(D$8:D28)</f>
        <v>0</v>
      </c>
      <c r="E29" s="6">
        <f>SUMIF(REA_7409!$D:$D,"&lt;="&amp;$B29,REA_7409!$W:$W)-SUM(E$8:E28)</f>
        <v>0</v>
      </c>
      <c r="F29" s="6">
        <f>SUMIFS(REA_10630_Fornecedores!$E:$E,REA_10630_Fornecedores!$C:$C,"&lt;="&amp;$B29,REA_10630_Fornecedores!$D:$D,F$6)-SUM(F$8:F28)</f>
        <v>0</v>
      </c>
      <c r="G29" s="6">
        <f>SUMIFS(REA_10630_Fornecedores!$E:$E,REA_10630_Fornecedores!$C:$C,"&lt;="&amp;$B29,REA_10630_Fornecedores!$D:$D,G$6)-SUM(G$8:G28)</f>
        <v>0</v>
      </c>
      <c r="H29" s="6">
        <f>SUMIFS(REA_10630_Fornecedores!$E:$E,REA_10630_Fornecedores!$C:$C,"&lt;="&amp;$B29,REA_10630_Fornecedores!$D:$D,H$6)-SUM(H$8:H28)</f>
        <v>0</v>
      </c>
      <c r="I29" s="6">
        <f t="shared" si="1"/>
        <v>0</v>
      </c>
    </row>
    <row r="30" spans="2:9">
      <c r="B30" s="5">
        <v>44347</v>
      </c>
      <c r="C30" s="6">
        <f>SUMIF(REA_7385!$D:$D,"&lt;="&amp;$B30,REA_7385!$K:$K)-SUM(C$8:C29)</f>
        <v>2678669.3900000006</v>
      </c>
      <c r="D30" s="6">
        <f>SUMIF(REA_7408!$D:$D,"&lt;="&amp;$B30,REA_7408!$AK:$AK)-SUM(D$8:D29)</f>
        <v>0</v>
      </c>
      <c r="E30" s="6">
        <f>SUMIF(REA_7409!$D:$D,"&lt;="&amp;$B30,REA_7409!$W:$W)-SUM(E$8:E29)</f>
        <v>0</v>
      </c>
      <c r="F30" s="6">
        <f>SUMIFS(REA_10630_Fornecedores!$E:$E,REA_10630_Fornecedores!$C:$C,"&lt;="&amp;$B30,REA_10630_Fornecedores!$D:$D,F$6)-SUM(F$8:F29)</f>
        <v>0</v>
      </c>
      <c r="G30" s="6">
        <f>SUMIFS(REA_10630_Fornecedores!$E:$E,REA_10630_Fornecedores!$C:$C,"&lt;="&amp;$B30,REA_10630_Fornecedores!$D:$D,G$6)-SUM(G$8:G29)</f>
        <v>0</v>
      </c>
      <c r="H30" s="6">
        <f>SUMIFS(REA_10630_Fornecedores!$E:$E,REA_10630_Fornecedores!$C:$C,"&lt;="&amp;$B30,REA_10630_Fornecedores!$D:$D,H$6)-SUM(H$8:H29)</f>
        <v>0</v>
      </c>
      <c r="I30" s="6">
        <f t="shared" si="1"/>
        <v>2678669.3900000006</v>
      </c>
    </row>
    <row r="31" spans="2:9">
      <c r="B31" s="5">
        <v>44377</v>
      </c>
      <c r="C31" s="6">
        <f>SUMIF(REA_7385!$D:$D,"&lt;="&amp;$B31,REA_7385!$K:$K)-SUM(C$8:C30)</f>
        <v>1257326.7699999958</v>
      </c>
      <c r="D31" s="6">
        <f>SUMIF(REA_7408!$D:$D,"&lt;="&amp;$B31,REA_7408!$AK:$AK)-SUM(D$8:D30)</f>
        <v>0</v>
      </c>
      <c r="E31" s="6">
        <f>SUMIF(REA_7409!$D:$D,"&lt;="&amp;$B31,REA_7409!$W:$W)-SUM(E$8:E30)</f>
        <v>0</v>
      </c>
      <c r="F31" s="6">
        <f>SUMIFS(REA_10630_Fornecedores!$E:$E,REA_10630_Fornecedores!$C:$C,"&lt;="&amp;$B31,REA_10630_Fornecedores!$D:$D,F$6)-SUM(F$8:F30)</f>
        <v>0</v>
      </c>
      <c r="G31" s="6">
        <f>SUMIFS(REA_10630_Fornecedores!$E:$E,REA_10630_Fornecedores!$C:$C,"&lt;="&amp;$B31,REA_10630_Fornecedores!$D:$D,G$6)-SUM(G$8:G30)</f>
        <v>0</v>
      </c>
      <c r="H31" s="6">
        <f>SUMIFS(REA_10630_Fornecedores!$E:$E,REA_10630_Fornecedores!$C:$C,"&lt;="&amp;$B31,REA_10630_Fornecedores!$D:$D,H$6)-SUM(H$8:H30)</f>
        <v>0</v>
      </c>
      <c r="I31" s="6">
        <f t="shared" si="1"/>
        <v>1257326.7699999958</v>
      </c>
    </row>
    <row r="32" spans="2:9">
      <c r="B32" s="5">
        <v>44408</v>
      </c>
      <c r="C32" s="6">
        <f>SUMIF(REA_7385!$D:$D,"&lt;="&amp;$B32,REA_7385!$K:$K)-SUM(C$8:C31)</f>
        <v>1055435.5199999958</v>
      </c>
      <c r="D32" s="6">
        <f>SUMIF(REA_7408!$D:$D,"&lt;="&amp;$B32,REA_7408!$AK:$AK)-SUM(D$8:D31)</f>
        <v>0</v>
      </c>
      <c r="E32" s="6">
        <f>SUMIF(REA_7409!$D:$D,"&lt;="&amp;$B32,REA_7409!$W:$W)-SUM(E$8:E31)</f>
        <v>0</v>
      </c>
      <c r="F32" s="6">
        <f>SUMIFS(REA_10630_Fornecedores!$E:$E,REA_10630_Fornecedores!$C:$C,"&lt;="&amp;$B32,REA_10630_Fornecedores!$D:$D,F$6)-SUM(F$8:F31)</f>
        <v>0</v>
      </c>
      <c r="G32" s="6">
        <f>SUMIFS(REA_10630_Fornecedores!$E:$E,REA_10630_Fornecedores!$C:$C,"&lt;="&amp;$B32,REA_10630_Fornecedores!$D:$D,G$6)-SUM(G$8:G31)</f>
        <v>0</v>
      </c>
      <c r="H32" s="6">
        <f>SUMIFS(REA_10630_Fornecedores!$E:$E,REA_10630_Fornecedores!$C:$C,"&lt;="&amp;$B32,REA_10630_Fornecedores!$D:$D,H$6)-SUM(H$8:H31)</f>
        <v>0</v>
      </c>
      <c r="I32" s="6">
        <f t="shared" si="1"/>
        <v>1055435.5199999958</v>
      </c>
    </row>
    <row r="33" spans="2:13">
      <c r="B33" s="5">
        <v>44439</v>
      </c>
      <c r="C33" s="6">
        <f>SUMIF(REA_7385!$D:$D,"&lt;="&amp;$B33,REA_7385!$K:$K)-SUM(C$8:C32)</f>
        <v>1529821.75</v>
      </c>
      <c r="D33" s="6">
        <f>SUMIF(REA_7408!$D:$D,"&lt;="&amp;$B33,REA_7408!$AK:$AK)-SUM(D$8:D32)</f>
        <v>0</v>
      </c>
      <c r="E33" s="6">
        <f>SUMIF(REA_7409!$D:$D,"&lt;="&amp;$B33,REA_7409!$W:$W)-SUM(E$8:E32)</f>
        <v>0</v>
      </c>
      <c r="F33" s="6">
        <f>SUMIFS(REA_10630_Fornecedores!$E:$E,REA_10630_Fornecedores!$C:$C,"&lt;="&amp;$B33,REA_10630_Fornecedores!$D:$D,F$6)-SUM(F$8:F32)</f>
        <v>0</v>
      </c>
      <c r="G33" s="6">
        <f>SUMIFS(REA_10630_Fornecedores!$E:$E,REA_10630_Fornecedores!$C:$C,"&lt;="&amp;$B33,REA_10630_Fornecedores!$D:$D,G$6)-SUM(G$8:G32)</f>
        <v>0</v>
      </c>
      <c r="H33" s="6">
        <f>SUMIFS(REA_10630_Fornecedores!$E:$E,REA_10630_Fornecedores!$C:$C,"&lt;="&amp;$B33,REA_10630_Fornecedores!$D:$D,H$6)-SUM(H$8:H32)</f>
        <v>0</v>
      </c>
      <c r="I33" s="6">
        <f t="shared" si="1"/>
        <v>1529821.75</v>
      </c>
    </row>
    <row r="34" spans="2:13">
      <c r="B34" s="5">
        <v>44469</v>
      </c>
      <c r="C34" s="6">
        <f>SUMIF(REA_7385!$D:$D,"&lt;="&amp;$B34,REA_7385!$K:$K)-SUM(C$8:C33)</f>
        <v>2724364.4599999934</v>
      </c>
      <c r="D34" s="6">
        <f>SUMIF(REA_7408!$D:$D,"&lt;="&amp;$B34,REA_7408!$AK:$AK)-SUM(D$8:D33)</f>
        <v>0</v>
      </c>
      <c r="E34" s="6">
        <f>SUMIF(REA_7409!$D:$D,"&lt;="&amp;$B34,REA_7409!$W:$W)-SUM(E$8:E33)</f>
        <v>0</v>
      </c>
      <c r="F34" s="6">
        <f>SUMIFS(REA_10630_Fornecedores!$E:$E,REA_10630_Fornecedores!$C:$C,"&lt;="&amp;$B34,REA_10630_Fornecedores!$D:$D,F$6)-SUM(F$8:F33)</f>
        <v>0</v>
      </c>
      <c r="G34" s="6">
        <f>SUMIFS(REA_10630_Fornecedores!$E:$E,REA_10630_Fornecedores!$C:$C,"&lt;="&amp;$B34,REA_10630_Fornecedores!$D:$D,G$6)-SUM(G$8:G33)</f>
        <v>0</v>
      </c>
      <c r="H34" s="6">
        <f>SUMIFS(REA_10630_Fornecedores!$E:$E,REA_10630_Fornecedores!$C:$C,"&lt;="&amp;$B34,REA_10630_Fornecedores!$D:$D,H$6)-SUM(H$8:H33)</f>
        <v>0</v>
      </c>
      <c r="I34" s="6">
        <f t="shared" si="1"/>
        <v>2724364.4599999934</v>
      </c>
    </row>
    <row r="35" spans="2:13">
      <c r="B35" s="5">
        <v>44500</v>
      </c>
      <c r="C35" s="6">
        <f>SUMIF(REA_7385!$D:$D,"&lt;="&amp;$B35,REA_7385!$K:$K)-SUM(C$8:C34)</f>
        <v>979874.08999998868</v>
      </c>
      <c r="D35" s="6">
        <f>SUMIF(REA_7408!$D:$D,"&lt;="&amp;$B35,REA_7408!$AK:$AK)-SUM(D$8:D34)</f>
        <v>0</v>
      </c>
      <c r="E35" s="6">
        <f>SUMIF(REA_7409!$D:$D,"&lt;="&amp;$B35,REA_7409!$W:$W)-SUM(E$8:E34)</f>
        <v>0</v>
      </c>
      <c r="F35" s="6">
        <f>SUMIFS(REA_10630_Fornecedores!$E:$E,REA_10630_Fornecedores!$C:$C,"&lt;="&amp;$B35,REA_10630_Fornecedores!$D:$D,F$6)-SUM(F$8:F34)</f>
        <v>0</v>
      </c>
      <c r="G35" s="6">
        <f>SUMIFS(REA_10630_Fornecedores!$E:$E,REA_10630_Fornecedores!$C:$C,"&lt;="&amp;$B35,REA_10630_Fornecedores!$D:$D,G$6)-SUM(G$8:G34)</f>
        <v>0</v>
      </c>
      <c r="H35" s="6">
        <f>SUMIFS(REA_10630_Fornecedores!$E:$E,REA_10630_Fornecedores!$C:$C,"&lt;="&amp;$B35,REA_10630_Fornecedores!$D:$D,H$6)-SUM(H$8:H34)</f>
        <v>0</v>
      </c>
      <c r="I35" s="6">
        <f t="shared" si="1"/>
        <v>979874.08999998868</v>
      </c>
      <c r="K35" s="7"/>
    </row>
    <row r="36" spans="2:13">
      <c r="B36" s="5">
        <v>44530</v>
      </c>
      <c r="C36" s="6">
        <f>SUMIF(REA_7385!$D:$D,"&lt;="&amp;$B36,REA_7385!$K:$K)-SUM(C$8:C35)</f>
        <v>688067.8900000006</v>
      </c>
      <c r="D36" s="6">
        <f>SUMIF(REA_7408!$D:$D,"&lt;="&amp;$B36,REA_7408!$AK:$AK)-SUM(D$8:D35)</f>
        <v>0</v>
      </c>
      <c r="E36" s="6">
        <f>SUMIF(REA_7409!$D:$D,"&lt;="&amp;$B36,REA_7409!$W:$W)-SUM(E$8:E35)</f>
        <v>0</v>
      </c>
      <c r="F36" s="6">
        <f>SUMIFS(REA_10630_Fornecedores!$E:$E,REA_10630_Fornecedores!$C:$C,"&lt;="&amp;$B36,REA_10630_Fornecedores!$D:$D,F$6)-SUM(F$8:F35)</f>
        <v>0</v>
      </c>
      <c r="G36" s="6">
        <f>SUMIFS(REA_10630_Fornecedores!$E:$E,REA_10630_Fornecedores!$C:$C,"&lt;="&amp;$B36,REA_10630_Fornecedores!$D:$D,G$6)-SUM(G$8:G35)</f>
        <v>0</v>
      </c>
      <c r="H36" s="6">
        <f>SUMIFS(REA_10630_Fornecedores!$E:$E,REA_10630_Fornecedores!$C:$C,"&lt;="&amp;$B36,REA_10630_Fornecedores!$D:$D,H$6)-SUM(H$8:H35)</f>
        <v>0</v>
      </c>
      <c r="I36" s="6">
        <f t="shared" si="1"/>
        <v>688067.8900000006</v>
      </c>
      <c r="K36" s="7"/>
    </row>
    <row r="37" spans="2:13">
      <c r="B37" s="5">
        <v>44561</v>
      </c>
      <c r="C37" s="6">
        <f>SUMIF(REA_7385!$D:$D,"&lt;="&amp;$B37,REA_7385!$K:$K)-SUM(C$8:C36)</f>
        <v>1708913.6700000018</v>
      </c>
      <c r="D37" s="6">
        <f>SUMIF(REA_7408!$D:$D,"&lt;="&amp;$B37,REA_7408!$AK:$AK)-SUM(D$8:D36)</f>
        <v>0</v>
      </c>
      <c r="E37" s="6">
        <f>SUMIF(REA_7409!$D:$D,"&lt;="&amp;$B37,REA_7409!$W:$W)-SUM(E$8:E36)</f>
        <v>0</v>
      </c>
      <c r="F37" s="6">
        <f>SUMIFS(REA_10630_Fornecedores!$E:$E,REA_10630_Fornecedores!$C:$C,"&lt;="&amp;$B37,REA_10630_Fornecedores!$D:$D,F$6)-SUM(F$8:F36)</f>
        <v>0</v>
      </c>
      <c r="G37" s="6">
        <f>SUMIFS(REA_10630_Fornecedores!$E:$E,REA_10630_Fornecedores!$C:$C,"&lt;="&amp;$B37,REA_10630_Fornecedores!$D:$D,G$6)-SUM(G$8:G36)</f>
        <v>0</v>
      </c>
      <c r="H37" s="6">
        <f>SUMIFS(REA_10630_Fornecedores!$E:$E,REA_10630_Fornecedores!$C:$C,"&lt;="&amp;$B37,REA_10630_Fornecedores!$D:$D,H$6)-SUM(H$8:H36)</f>
        <v>0</v>
      </c>
      <c r="I37" s="6">
        <f t="shared" si="1"/>
        <v>1708913.6700000018</v>
      </c>
      <c r="K37" s="7"/>
      <c r="M37" s="8"/>
    </row>
    <row r="38" spans="2:13">
      <c r="B38" s="5">
        <v>44592</v>
      </c>
      <c r="C38" s="6">
        <f>SUMIF(REA_7385!$D:$D,"&lt;="&amp;$B38,REA_7385!$K:$K)-SUM(C$8:C37)</f>
        <v>0</v>
      </c>
      <c r="D38" s="6">
        <f>SUMIF(REA_7408!$D:$D,"&lt;="&amp;$B38,REA_7408!$AK:$AK)-SUM(D$8:D37)</f>
        <v>1357777.55</v>
      </c>
      <c r="E38" s="6">
        <f>SUMIF(REA_7409!$D:$D,"&lt;="&amp;$B38,REA_7409!$W:$W)-SUM(E$8:E37)</f>
        <v>0</v>
      </c>
      <c r="F38" s="6">
        <f>SUMIFS(REA_10630_Fornecedores!$E:$E,REA_10630_Fornecedores!$C:$C,"&lt;="&amp;$B38,REA_10630_Fornecedores!$D:$D,F$6)-SUM(F$8:F37)</f>
        <v>0</v>
      </c>
      <c r="G38" s="6">
        <f>SUMIFS(REA_10630_Fornecedores!$E:$E,REA_10630_Fornecedores!$C:$C,"&lt;="&amp;$B38,REA_10630_Fornecedores!$D:$D,G$6)-SUM(G$8:G37)</f>
        <v>0</v>
      </c>
      <c r="H38" s="6">
        <f>SUMIFS(REA_10630_Fornecedores!$E:$E,REA_10630_Fornecedores!$C:$C,"&lt;="&amp;$B38,REA_10630_Fornecedores!$D:$D,H$6)-SUM(H$8:H37)</f>
        <v>0</v>
      </c>
      <c r="I38" s="6">
        <f t="shared" si="1"/>
        <v>1357777.55</v>
      </c>
      <c r="M38" s="8"/>
    </row>
    <row r="39" spans="2:13">
      <c r="B39" s="5">
        <v>44620</v>
      </c>
      <c r="C39" s="6">
        <f>SUMIF(REA_7385!$D:$D,"&lt;="&amp;$B39,REA_7385!$K:$K)-SUM(C$8:C38)</f>
        <v>0</v>
      </c>
      <c r="D39" s="6">
        <f>SUMIF(REA_7408!$D:$D,"&lt;="&amp;$B39,REA_7408!$AK:$AK)-SUM(D$8:D38)</f>
        <v>0</v>
      </c>
      <c r="E39" s="6">
        <f>SUMIF(REA_7409!$D:$D,"&lt;="&amp;$B39,REA_7409!$W:$W)-SUM(E$8:E38)</f>
        <v>0</v>
      </c>
      <c r="F39" s="6">
        <f>SUMIFS(REA_10630_Fornecedores!$E:$E,REA_10630_Fornecedores!$C:$C,"&lt;="&amp;$B39,REA_10630_Fornecedores!$D:$D,F$6)-SUM(F$8:F38)</f>
        <v>0</v>
      </c>
      <c r="G39" s="6">
        <f>SUMIFS(REA_10630_Fornecedores!$E:$E,REA_10630_Fornecedores!$C:$C,"&lt;="&amp;$B39,REA_10630_Fornecedores!$D:$D,G$6)-SUM(G$8:G38)</f>
        <v>0</v>
      </c>
      <c r="H39" s="6">
        <f>SUMIFS(REA_10630_Fornecedores!$E:$E,REA_10630_Fornecedores!$C:$C,"&lt;="&amp;$B39,REA_10630_Fornecedores!$D:$D,H$6)-SUM(H$8:H38)</f>
        <v>0</v>
      </c>
      <c r="I39" s="6">
        <f t="shared" si="1"/>
        <v>0</v>
      </c>
      <c r="M39" s="8"/>
    </row>
    <row r="40" spans="2:13">
      <c r="B40" s="5">
        <v>44651</v>
      </c>
      <c r="C40" s="6">
        <f>SUMIF(REA_7385!$D:$D,"&lt;="&amp;$B40,REA_7385!$K:$K)-SUM(C$8:C39)</f>
        <v>2123974.3299999982</v>
      </c>
      <c r="D40" s="6">
        <f>SUMIF(REA_7408!$D:$D,"&lt;="&amp;$B40,REA_7408!$AK:$AK)-SUM(D$8:D39)</f>
        <v>0</v>
      </c>
      <c r="E40" s="6">
        <f>SUMIF(REA_7409!$D:$D,"&lt;="&amp;$B40,REA_7409!$W:$W)-SUM(E$8:E39)</f>
        <v>0</v>
      </c>
      <c r="F40" s="6">
        <f>SUMIFS(REA_10630_Fornecedores!$E:$E,REA_10630_Fornecedores!$C:$C,"&lt;="&amp;$B40,REA_10630_Fornecedores!$D:$D,F$6)-SUM(F$8:F39)</f>
        <v>0</v>
      </c>
      <c r="G40" s="6">
        <f>SUMIFS(REA_10630_Fornecedores!$E:$E,REA_10630_Fornecedores!$C:$C,"&lt;="&amp;$B40,REA_10630_Fornecedores!$D:$D,G$6)-SUM(G$8:G39)</f>
        <v>0</v>
      </c>
      <c r="H40" s="6">
        <f>SUMIFS(REA_10630_Fornecedores!$E:$E,REA_10630_Fornecedores!$C:$C,"&lt;="&amp;$B40,REA_10630_Fornecedores!$D:$D,H$6)-SUM(H$8:H39)</f>
        <v>0</v>
      </c>
      <c r="I40" s="6">
        <f t="shared" si="1"/>
        <v>2123974.3299999982</v>
      </c>
    </row>
    <row r="41" spans="2:13">
      <c r="B41" s="5">
        <v>44681</v>
      </c>
      <c r="C41" s="6">
        <f>SUMIF(REA_7385!$D:$D,"&lt;="&amp;$B41,REA_7385!$K:$K)-SUM(C$8:C40)</f>
        <v>929659.1400000006</v>
      </c>
      <c r="D41" s="6">
        <f>SUMIF(REA_7408!$D:$D,"&lt;="&amp;$B41,REA_7408!$AK:$AK)-SUM(D$8:D40)</f>
        <v>382543.82000000007</v>
      </c>
      <c r="E41" s="6">
        <f>SUMIF(REA_7409!$D:$D,"&lt;="&amp;$B41,REA_7409!$W:$W)-SUM(E$8:E40)</f>
        <v>29591998.809999999</v>
      </c>
      <c r="F41" s="9">
        <f>SUMIFS(REA_10630_Fornecedores!$E:$E,REA_10630_Fornecedores!$C:$C,"&lt;="&amp;$B41,REA_10630_Fornecedores!$D:$D,F$6)-SUM(F$8:F40)</f>
        <v>0</v>
      </c>
      <c r="G41" s="9">
        <f>SUMIFS(REA_10630_Fornecedores!$E:$E,REA_10630_Fornecedores!$C:$C,"&lt;="&amp;$B41,REA_10630_Fornecedores!$D:$D,G$6)-SUM(G$8:G40)</f>
        <v>0</v>
      </c>
      <c r="H41" s="9">
        <f>SUMIFS(REA_10630_Fornecedores!$E:$E,REA_10630_Fornecedores!$C:$C,"&lt;="&amp;$B41,REA_10630_Fornecedores!$D:$D,H$6)-SUM(H$8:H40)</f>
        <v>5625056.6500000004</v>
      </c>
      <c r="I41" s="6">
        <f t="shared" si="1"/>
        <v>36529258.420000002</v>
      </c>
    </row>
    <row r="42" spans="2:13">
      <c r="B42" s="5">
        <v>44712</v>
      </c>
      <c r="C42" s="6">
        <f>SUMIF(REA_7385!$D:$D,"&lt;="&amp;$B42,REA_7385!$K:$K)-SUM(C$8:C41)</f>
        <v>1906121.7800000012</v>
      </c>
      <c r="D42" s="6">
        <f>SUMIF(REA_7408!$D:$D,"&lt;="&amp;$B42,REA_7408!$AK:$AK)-SUM(D$8:D41)</f>
        <v>0</v>
      </c>
      <c r="E42" s="6">
        <f>SUMIF(REA_7409!$D:$D,"&lt;="&amp;$B42,REA_7409!$W:$W)-SUM(E$8:E41)</f>
        <v>12245881.069999997</v>
      </c>
      <c r="F42" s="6">
        <f>SUMIFS(REA_10630_Fornecedores!$E:$E,REA_10630_Fornecedores!$C:$C,"&lt;="&amp;$B42,REA_10630_Fornecedores!$D:$D,F$6)-SUM(F$8:F41)</f>
        <v>5223874.4399999995</v>
      </c>
      <c r="G42" s="6">
        <f>SUMIFS(REA_10630_Fornecedores!$E:$E,REA_10630_Fornecedores!$C:$C,"&lt;="&amp;$B42,REA_10630_Fornecedores!$D:$D,G$6)-SUM(G$8:G41)</f>
        <v>7670523.4799999995</v>
      </c>
      <c r="H42" s="6">
        <f>SUMIFS(REA_10630_Fornecedores!$E:$E,REA_10630_Fornecedores!$C:$C,"&lt;="&amp;$B42,REA_10630_Fornecedores!$D:$D,H$6)-SUM(H$8:H41)</f>
        <v>0</v>
      </c>
      <c r="I42" s="6">
        <f t="shared" si="1"/>
        <v>27046400.77</v>
      </c>
    </row>
    <row r="43" spans="2:13">
      <c r="B43" s="5">
        <v>44742</v>
      </c>
      <c r="C43" s="6">
        <f>SUMIF(REA_7385!$D:$D,"&lt;="&amp;$B43,REA_7385!$K:$K)-SUM(C$8:C42)</f>
        <v>974930.3900000006</v>
      </c>
      <c r="D43" s="6">
        <f>SUMIF(REA_7408!$D:$D,"&lt;="&amp;$B43,REA_7408!$AK:$AK)-SUM(D$8:D42)</f>
        <v>847737.48</v>
      </c>
      <c r="E43" s="6">
        <f>SUMIF(REA_7409!$D:$D,"&lt;="&amp;$B43,REA_7409!$W:$W)-SUM(E$8:E42)</f>
        <v>0</v>
      </c>
      <c r="F43" s="6">
        <f>SUMIFS(REA_10630_Fornecedores!$E:$E,REA_10630_Fornecedores!$C:$C,"&lt;="&amp;$B43,REA_10630_Fornecedores!$D:$D,F$6)-SUM(F$8:F42)</f>
        <v>0</v>
      </c>
      <c r="G43" s="6">
        <f>SUMIFS(REA_10630_Fornecedores!$E:$E,REA_10630_Fornecedores!$C:$C,"&lt;="&amp;$B43,REA_10630_Fornecedores!$D:$D,G$6)-SUM(G$8:G42)</f>
        <v>0</v>
      </c>
      <c r="H43" s="6">
        <f>SUMIFS(REA_10630_Fornecedores!$E:$E,REA_10630_Fornecedores!$C:$C,"&lt;="&amp;$B43,REA_10630_Fornecedores!$D:$D,H$6)-SUM(H$8:H42)</f>
        <v>0</v>
      </c>
      <c r="I43" s="6">
        <f t="shared" si="1"/>
        <v>1822667.8700000006</v>
      </c>
    </row>
    <row r="44" spans="2:13">
      <c r="B44" s="5">
        <v>44773</v>
      </c>
      <c r="C44" s="6">
        <f>SUMIF(REA_7385!$D:$D,"&lt;="&amp;$B44,REA_7385!$K:$K)-SUM(C$8:C43)</f>
        <v>1105666.3599999994</v>
      </c>
      <c r="D44" s="6">
        <f>SUMIF(REA_7408!$D:$D,"&lt;="&amp;$B44,REA_7408!$AK:$AK)-SUM(D$8:D43)</f>
        <v>11483.919999999925</v>
      </c>
      <c r="E44" s="6">
        <f>SUMIF(REA_7409!$D:$D,"&lt;="&amp;$B44,REA_7409!$W:$W)-SUM(E$8:E43)</f>
        <v>995878.3200000003</v>
      </c>
      <c r="F44" s="6">
        <f>SUMIFS(REA_10630_Fornecedores!$E:$E,REA_10630_Fornecedores!$C:$C,"&lt;="&amp;$B44,REA_10630_Fornecedores!$D:$D,F$6)-SUM(F$8:F43)</f>
        <v>0</v>
      </c>
      <c r="G44" s="6">
        <f>SUMIFS(REA_10630_Fornecedores!$E:$E,REA_10630_Fornecedores!$C:$C,"&lt;="&amp;$B44,REA_10630_Fornecedores!$D:$D,G$6)-SUM(G$8:G43)</f>
        <v>0</v>
      </c>
      <c r="H44" s="6">
        <f>SUMIFS(REA_10630_Fornecedores!$E:$E,REA_10630_Fornecedores!$C:$C,"&lt;="&amp;$B44,REA_10630_Fornecedores!$D:$D,H$6)-SUM(H$8:H43)</f>
        <v>0</v>
      </c>
      <c r="I44" s="6">
        <f t="shared" si="1"/>
        <v>2113028.5999999996</v>
      </c>
    </row>
    <row r="45" spans="2:13">
      <c r="B45" s="5">
        <v>44804</v>
      </c>
      <c r="C45" s="6">
        <f>SUMIF(REA_7385!$D:$D,"&lt;="&amp;$B45,REA_7385!$K:$K)-SUM(C$8:C44)</f>
        <v>369950.20000000298</v>
      </c>
      <c r="D45" s="6">
        <f>SUMIF(REA_7408!$D:$D,"&lt;="&amp;$B45,REA_7408!$AK:$AK)-SUM(D$8:D44)</f>
        <v>963671.67000000039</v>
      </c>
      <c r="E45" s="6">
        <f>SUMIF(REA_7409!$D:$D,"&lt;="&amp;$B45,REA_7409!$W:$W)-SUM(E$8:E44)</f>
        <v>0</v>
      </c>
      <c r="F45" s="6">
        <f>SUMIFS(REA_10630_Fornecedores!$E:$E,REA_10630_Fornecedores!$C:$C,"&lt;="&amp;$B45,REA_10630_Fornecedores!$D:$D,F$6)-SUM(F$8:F44)</f>
        <v>6315547.5700000003</v>
      </c>
      <c r="G45" s="6">
        <f>SUMIFS(REA_10630_Fornecedores!$E:$E,REA_10630_Fornecedores!$C:$C,"&lt;="&amp;$B45,REA_10630_Fornecedores!$D:$D,G$6)-SUM(G$8:G44)</f>
        <v>7061734.5300000003</v>
      </c>
      <c r="H45" s="6">
        <f>SUMIFS(REA_10630_Fornecedores!$E:$E,REA_10630_Fornecedores!$C:$C,"&lt;="&amp;$B45,REA_10630_Fornecedores!$D:$D,H$6)-SUM(H$8:H44)</f>
        <v>6742260.8699999992</v>
      </c>
      <c r="I45" s="6">
        <f t="shared" si="1"/>
        <v>21453164.840000004</v>
      </c>
    </row>
    <row r="46" spans="2:13">
      <c r="B46" s="5">
        <v>44834</v>
      </c>
      <c r="C46" s="6">
        <f>SUMIF(REA_7385!$D:$D,"&lt;="&amp;$B46,REA_7385!$K:$K)-SUM(C$8:C45)</f>
        <v>550964.79999999702</v>
      </c>
      <c r="D46" s="6">
        <f>SUMIF(REA_7408!$D:$D,"&lt;="&amp;$B46,REA_7408!$AK:$AK)-SUM(D$8:D45)</f>
        <v>1779268.2199999997</v>
      </c>
      <c r="E46" s="6">
        <f>SUMIF(REA_7409!$D:$D,"&lt;="&amp;$B46,REA_7409!$W:$W)-SUM(E$8:E45)</f>
        <v>3660023.2100000009</v>
      </c>
      <c r="F46" s="6">
        <f>SUMIFS(REA_10630_Fornecedores!$E:$E,REA_10630_Fornecedores!$C:$C,"&lt;="&amp;$B46,REA_10630_Fornecedores!$D:$D,F$6)-SUM(F$8:F45)</f>
        <v>0</v>
      </c>
      <c r="G46" s="6">
        <f>SUMIFS(REA_10630_Fornecedores!$E:$E,REA_10630_Fornecedores!$C:$C,"&lt;="&amp;$B46,REA_10630_Fornecedores!$D:$D,G$6)-SUM(G$8:G45)</f>
        <v>0</v>
      </c>
      <c r="H46" s="6">
        <f>SUMIFS(REA_10630_Fornecedores!$E:$E,REA_10630_Fornecedores!$C:$C,"&lt;="&amp;$B46,REA_10630_Fornecedores!$D:$D,H$6)-SUM(H$8:H45)</f>
        <v>0</v>
      </c>
      <c r="I46" s="6">
        <f t="shared" si="1"/>
        <v>5990256.2299999977</v>
      </c>
    </row>
    <row r="47" spans="2:13">
      <c r="B47" s="5">
        <v>44865</v>
      </c>
      <c r="C47" s="6">
        <f>SUMIF(REA_7385!$D:$D,"&lt;="&amp;$B47,REA_7385!$K:$K)-SUM(C$8:C46)</f>
        <v>516698.42000000179</v>
      </c>
      <c r="D47" s="6">
        <f>SUMIF(REA_7408!$D:$D,"&lt;="&amp;$B47,REA_7408!$AK:$AK)-SUM(D$8:D46)</f>
        <v>0</v>
      </c>
      <c r="E47" s="6">
        <f>SUMIF(REA_7409!$D:$D,"&lt;="&amp;$B47,REA_7409!$W:$W)-SUM(E$8:E46)</f>
        <v>0</v>
      </c>
      <c r="F47" s="6">
        <f>SUMIFS(REA_10630_Fornecedores!$E:$E,REA_10630_Fornecedores!$C:$C,"&lt;="&amp;$B47,REA_10630_Fornecedores!$D:$D,F$6)-SUM(F$8:F46)</f>
        <v>3600831.0500000007</v>
      </c>
      <c r="G47" s="6">
        <f>SUMIFS(REA_10630_Fornecedores!$E:$E,REA_10630_Fornecedores!$C:$C,"&lt;="&amp;$B47,REA_10630_Fornecedores!$D:$D,G$6)-SUM(G$8:G46)</f>
        <v>0</v>
      </c>
      <c r="H47" s="6">
        <f>SUMIFS(REA_10630_Fornecedores!$E:$E,REA_10630_Fornecedores!$C:$C,"&lt;="&amp;$B47,REA_10630_Fornecedores!$D:$D,H$6)-SUM(H$8:H46)</f>
        <v>6365782.8399999999</v>
      </c>
      <c r="I47" s="6">
        <f t="shared" si="1"/>
        <v>10483312.310000002</v>
      </c>
    </row>
    <row r="48" spans="2:13">
      <c r="B48" s="5">
        <v>44895</v>
      </c>
      <c r="C48" s="6">
        <f>SUMIF(REA_7385!$D:$D,"&lt;="&amp;$B48,REA_7385!$K:$K)-SUM(C$8:C47)</f>
        <v>368059.09000000358</v>
      </c>
      <c r="D48" s="6">
        <f>SUMIF(REA_7408!$D:$D,"&lt;="&amp;$B48,REA_7408!$AK:$AK)-SUM(D$8:D47)</f>
        <v>3646251.4299999997</v>
      </c>
      <c r="E48" s="6">
        <f>SUMIF(REA_7409!$D:$D,"&lt;="&amp;$B48,REA_7409!$W:$W)-SUM(E$8:E47)</f>
        <v>0</v>
      </c>
      <c r="F48" s="6">
        <f>SUMIFS(REA_10630_Fornecedores!$E:$E,REA_10630_Fornecedores!$C:$C,"&lt;="&amp;$B48,REA_10630_Fornecedores!$D:$D,F$6)-SUM(F$8:F47)</f>
        <v>229394</v>
      </c>
      <c r="G48" s="6">
        <f>SUMIFS(REA_10630_Fornecedores!$E:$E,REA_10630_Fornecedores!$C:$C,"&lt;="&amp;$B48,REA_10630_Fornecedores!$D:$D,G$6)-SUM(G$8:G47)</f>
        <v>0</v>
      </c>
      <c r="H48" s="6">
        <f>SUMIFS(REA_10630_Fornecedores!$E:$E,REA_10630_Fornecedores!$C:$C,"&lt;="&amp;$B48,REA_10630_Fornecedores!$D:$D,H$6)-SUM(H$8:H47)</f>
        <v>273253.60000000149</v>
      </c>
      <c r="I48" s="6">
        <f t="shared" si="1"/>
        <v>4516958.1200000048</v>
      </c>
    </row>
    <row r="49" spans="2:9">
      <c r="B49" s="5">
        <v>44926</v>
      </c>
      <c r="C49" s="6">
        <f>SUMIF(REA_7385!$D:$D,"&lt;="&amp;$B49,REA_7385!$K:$K)-SUM(C$8:C48)</f>
        <v>0</v>
      </c>
      <c r="D49" s="6">
        <f>SUMIF(REA_7408!$D:$D,"&lt;="&amp;$B49,REA_7408!$AK:$AK)-SUM(D$8:D48)</f>
        <v>61747.189999999478</v>
      </c>
      <c r="E49" s="6">
        <f>SUMIF(REA_7409!$D:$D,"&lt;="&amp;$B49,REA_7409!$W:$W)-SUM(E$8:E48)</f>
        <v>0</v>
      </c>
      <c r="F49" s="6">
        <f>SUMIFS(REA_10630_Fornecedores!$E:$E,REA_10630_Fornecedores!$C:$C,"&lt;="&amp;$B49,REA_10630_Fornecedores!$D:$D,F$6)-SUM(F$8:F48)</f>
        <v>7279975.5800000001</v>
      </c>
      <c r="G49" s="6">
        <f>SUMIFS(REA_10630_Fornecedores!$E:$E,REA_10630_Fornecedores!$C:$C,"&lt;="&amp;$B49,REA_10630_Fornecedores!$D:$D,G$6)-SUM(G$8:G48)</f>
        <v>12290965.17</v>
      </c>
      <c r="H49" s="6">
        <f>SUMIFS(REA_10630_Fornecedores!$E:$E,REA_10630_Fornecedores!$C:$C,"&lt;="&amp;$B49,REA_10630_Fornecedores!$D:$D,H$6)-SUM(H$8:H48)</f>
        <v>6978838.9699999988</v>
      </c>
      <c r="I49" s="6">
        <f t="shared" si="1"/>
        <v>26611526.909999996</v>
      </c>
    </row>
    <row r="50" spans="2:9">
      <c r="B50" s="5">
        <v>44957</v>
      </c>
      <c r="C50" s="6">
        <f>SUMIF(REA_7385!$D:$D,"&lt;="&amp;$B50,REA_7385!$K:$K)-SUM(C$8:C49)</f>
        <v>114992.26999999583</v>
      </c>
      <c r="D50" s="6">
        <f>SUMIF(REA_7408!$D:$D,"&lt;="&amp;$B50,REA_7408!$AK:$AK)-SUM(D$8:D49)</f>
        <v>12010355.319999998</v>
      </c>
      <c r="E50" s="6">
        <f>SUMIF(REA_7409!$D:$D,"&lt;="&amp;$B50,REA_7409!$W:$W)-SUM(E$8:E49)</f>
        <v>5206679.2400000021</v>
      </c>
      <c r="F50" s="6">
        <f>SUMIFS(REA_10630_Fornecedores!$E:$E,REA_10630_Fornecedores!$C:$C,"&lt;="&amp;$B50,REA_10630_Fornecedores!$D:$D,F$6)-SUM(F$8:F49)</f>
        <v>72454.800000000745</v>
      </c>
      <c r="G50" s="6">
        <f>SUMIFS(REA_10630_Fornecedores!$E:$E,REA_10630_Fornecedores!$C:$C,"&lt;="&amp;$B50,REA_10630_Fornecedores!$D:$D,G$6)-SUM(G$8:G49)</f>
        <v>10043246.880000003</v>
      </c>
      <c r="H50" s="6">
        <f>SUMIFS(REA_10630_Fornecedores!$E:$E,REA_10630_Fornecedores!$C:$C,"&lt;="&amp;$B50,REA_10630_Fornecedores!$D:$D,H$6)-SUM(H$8:H49)</f>
        <v>47611.859999999404</v>
      </c>
      <c r="I50" s="6">
        <f t="shared" si="1"/>
        <v>27495340.370000001</v>
      </c>
    </row>
    <row r="51" spans="2:9">
      <c r="B51" s="5">
        <v>44985</v>
      </c>
      <c r="C51" s="6">
        <f>SUMIF(REA_7385!$D:$D,"&lt;="&amp;$B51,REA_7385!$K:$K)-SUM(C$8:C50)</f>
        <v>0</v>
      </c>
      <c r="D51" s="6">
        <f>SUMIF(REA_7408!$D:$D,"&lt;="&amp;$B51,REA_7408!$AK:$AK)-SUM(D$8:D50)</f>
        <v>143877.57999999821</v>
      </c>
      <c r="E51" s="6">
        <f>SUMIF(REA_7409!$D:$D,"&lt;="&amp;$B51,REA_7409!$W:$W)-SUM(E$8:E50)</f>
        <v>0</v>
      </c>
      <c r="F51" s="6">
        <f>SUMIFS(REA_10630_Fornecedores!$E:$E,REA_10630_Fornecedores!$C:$C,"&lt;="&amp;$B51,REA_10630_Fornecedores!$D:$D,F$6)-SUM(F$8:F50)</f>
        <v>6351731.3599999994</v>
      </c>
      <c r="G51" s="6">
        <f>SUMIFS(REA_10630_Fornecedores!$E:$E,REA_10630_Fornecedores!$C:$C,"&lt;="&amp;$B51,REA_10630_Fornecedores!$D:$D,G$6)-SUM(G$8:G50)</f>
        <v>404640.29999999702</v>
      </c>
      <c r="H51" s="6">
        <f>SUMIFS(REA_10630_Fornecedores!$E:$E,REA_10630_Fornecedores!$C:$C,"&lt;="&amp;$B51,REA_10630_Fornecedores!$D:$D,H$6)-SUM(H$8:H50)</f>
        <v>6850911.2600000016</v>
      </c>
      <c r="I51" s="6">
        <f t="shared" si="1"/>
        <v>13751160.499999996</v>
      </c>
    </row>
    <row r="52" spans="2:9">
      <c r="B52" s="5">
        <v>45016</v>
      </c>
      <c r="C52" s="6">
        <f>SUMIF(REA_7385!$D:$D,"&lt;="&amp;$B52,REA_7385!$K:$K)-SUM(C$8:C51)</f>
        <v>153286.70000000298</v>
      </c>
      <c r="D52" s="6">
        <f>SUMIF(REA_7408!$D:$D,"&lt;="&amp;$B52,REA_7408!$AK:$AK)-SUM(D$8:D51)</f>
        <v>17230720.530000005</v>
      </c>
      <c r="E52" s="6">
        <f>SUMIF(REA_7409!$D:$D,"&lt;="&amp;$B52,REA_7409!$W:$W)-SUM(E$8:E51)</f>
        <v>0</v>
      </c>
      <c r="F52" s="6">
        <f>SUMIFS(REA_10630_Fornecedores!$E:$E,REA_10630_Fornecedores!$C:$C,"&lt;="&amp;$B52,REA_10630_Fornecedores!$D:$D,F$6)-SUM(F$8:F51)</f>
        <v>4287211.91</v>
      </c>
      <c r="G52" s="6">
        <f>SUMIFS(REA_10630_Fornecedores!$E:$E,REA_10630_Fornecedores!$C:$C,"&lt;="&amp;$B52,REA_10630_Fornecedores!$D:$D,G$6)-SUM(G$8:G51)</f>
        <v>139284.75</v>
      </c>
      <c r="H52" s="6">
        <f>SUMIFS(REA_10630_Fornecedores!$E:$E,REA_10630_Fornecedores!$C:$C,"&lt;="&amp;$B52,REA_10630_Fornecedores!$D:$D,H$6)-SUM(H$8:H51)</f>
        <v>6654251.0800000019</v>
      </c>
      <c r="I52" s="6">
        <f t="shared" si="1"/>
        <v>28464754.97000001</v>
      </c>
    </row>
    <row r="53" spans="2:9">
      <c r="B53" s="5">
        <v>45046</v>
      </c>
      <c r="C53" s="6">
        <f>SUMIF(REA_7385!$D:$D,"&lt;="&amp;$B53,REA_7385!$K:$K)-SUM(C$8:C52)</f>
        <v>0</v>
      </c>
      <c r="D53" s="6">
        <f>SUMIF(REA_7408!$D:$D,"&lt;="&amp;$B53,REA_7408!$AK:$AK)-SUM(D$8:D52)</f>
        <v>2953111.8299999982</v>
      </c>
      <c r="E53" s="6">
        <f>SUMIF(REA_7409!$D:$D,"&lt;="&amp;$B53,REA_7409!$W:$W)-SUM(E$8:E52)</f>
        <v>0</v>
      </c>
      <c r="F53" s="6">
        <f>SUMIFS(REA_10630_Fornecedores!$E:$E,REA_10630_Fornecedores!$C:$C,"&lt;="&amp;$B53,REA_10630_Fornecedores!$D:$D,F$6)-SUM(F$8:F52)</f>
        <v>0</v>
      </c>
      <c r="G53" s="6">
        <f>SUMIFS(REA_10630_Fornecedores!$E:$E,REA_10630_Fornecedores!$C:$C,"&lt;="&amp;$B53,REA_10630_Fornecedores!$D:$D,G$6)-SUM(G$8:G52)</f>
        <v>8909676</v>
      </c>
      <c r="H53" s="6">
        <f>SUMIFS(REA_10630_Fornecedores!$E:$E,REA_10630_Fornecedores!$C:$C,"&lt;="&amp;$B53,REA_10630_Fornecedores!$D:$D,H$6)-SUM(H$8:H52)</f>
        <v>4572132.1400000006</v>
      </c>
      <c r="I53" s="6">
        <f t="shared" si="1"/>
        <v>16434919.969999999</v>
      </c>
    </row>
    <row r="54" spans="2:9">
      <c r="B54" s="5">
        <v>45077</v>
      </c>
      <c r="C54" s="6">
        <f>SUMIF(REA_7385!$D:$D,"&lt;="&amp;$B54,REA_7385!$K:$K)-SUM(C$8:C53)</f>
        <v>33531.84999999404</v>
      </c>
      <c r="D54" s="6">
        <f>SUMIF(REA_7408!$D:$D,"&lt;="&amp;$B54,REA_7408!$AK:$AK)-SUM(D$8:D53)</f>
        <v>3544262.3100000024</v>
      </c>
      <c r="E54" s="6">
        <f>SUMIF(REA_7409!$D:$D,"&lt;="&amp;$B54,REA_7409!$W:$W)-SUM(E$8:E53)</f>
        <v>22823022.669999994</v>
      </c>
      <c r="F54" s="6">
        <f>SUMIFS(REA_10630_Fornecedores!$E:$E,REA_10630_Fornecedores!$C:$C,"&lt;="&amp;$B54,REA_10630_Fornecedores!$D:$D,F$6)-SUM(F$8:F53)</f>
        <v>17656.14999999851</v>
      </c>
      <c r="G54" s="6">
        <f>SUMIFS(REA_10630_Fornecedores!$E:$E,REA_10630_Fornecedores!$C:$C,"&lt;="&amp;$B54,REA_10630_Fornecedores!$D:$D,G$6)-SUM(G$8:G53)</f>
        <v>349176.39999999106</v>
      </c>
      <c r="H54" s="6">
        <f>SUMIFS(REA_10630_Fornecedores!$E:$E,REA_10630_Fornecedores!$C:$C,"&lt;="&amp;$B54,REA_10630_Fornecedores!$D:$D,H$6)-SUM(H$8:H53)</f>
        <v>216541.66000000387</v>
      </c>
      <c r="I54" s="6">
        <f t="shared" si="1"/>
        <v>26984191.039999984</v>
      </c>
    </row>
    <row r="55" spans="2:9">
      <c r="B55" s="5">
        <v>45107</v>
      </c>
      <c r="C55" s="6">
        <f>SUMIF(REA_7385!$D:$D,"&lt;="&amp;$B55,REA_7385!$K:$K)-SUM(C$8:C54)</f>
        <v>0</v>
      </c>
      <c r="D55" s="6">
        <f>SUMIF(REA_7408!$D:$D,"&lt;="&amp;$B55,REA_7408!$AK:$AK)-SUM(D$8:D54)</f>
        <v>0</v>
      </c>
      <c r="E55" s="6">
        <f>SUMIF(REA_7409!$D:$D,"&lt;="&amp;$B55,REA_7409!$W:$W)-SUM(E$8:E54)</f>
        <v>0</v>
      </c>
      <c r="F55" s="6">
        <f>SUMIFS(REA_10630_Fornecedores!$E:$E,REA_10630_Fornecedores!$C:$C,"&lt;="&amp;$B55,REA_10630_Fornecedores!$D:$D,F$6)-SUM(F$8:F54)</f>
        <v>6239845.299999997</v>
      </c>
      <c r="G55" s="6">
        <f>SUMIFS(REA_10630_Fornecedores!$E:$E,REA_10630_Fornecedores!$C:$C,"&lt;="&amp;$B55,REA_10630_Fornecedores!$D:$D,G$6)-SUM(G$8:G54)</f>
        <v>0</v>
      </c>
      <c r="H55" s="6">
        <f>SUMIFS(REA_10630_Fornecedores!$E:$E,REA_10630_Fornecedores!$C:$C,"&lt;="&amp;$B55,REA_10630_Fornecedores!$D:$D,H$6)-SUM(H$8:H54)</f>
        <v>0</v>
      </c>
      <c r="I55" s="6">
        <f t="shared" si="1"/>
        <v>6239845.299999997</v>
      </c>
    </row>
    <row r="56" spans="2:9">
      <c r="B56" s="5">
        <v>45138</v>
      </c>
      <c r="C56" s="6">
        <f>SUMIF(REA_7385!$D:$D,"&lt;="&amp;$B56,REA_7385!$K:$K)-SUM(C$8:C55)</f>
        <v>0</v>
      </c>
      <c r="D56" s="6">
        <f>SUMIF(REA_7408!$D:$D,"&lt;="&amp;$B56,REA_7408!$AK:$AK)-SUM(D$8:D55)</f>
        <v>1258109.8500000015</v>
      </c>
      <c r="E56" s="6">
        <f>SUMIF(REA_7409!$D:$D,"&lt;="&amp;$B56,REA_7409!$W:$W)-SUM(E$8:E55)</f>
        <v>0</v>
      </c>
      <c r="F56" s="6">
        <f>SUMIFS(REA_10630_Fornecedores!$E:$E,REA_10630_Fornecedores!$C:$C,"&lt;="&amp;$B56,REA_10630_Fornecedores!$D:$D,F$6)-SUM(F$8:F55)</f>
        <v>0</v>
      </c>
      <c r="G56" s="6">
        <f>SUMIFS(REA_10630_Fornecedores!$E:$E,REA_10630_Fornecedores!$C:$C,"&lt;="&amp;$B56,REA_10630_Fornecedores!$D:$D,G$6)-SUM(G$8:G55)</f>
        <v>0</v>
      </c>
      <c r="H56" s="6">
        <f>SUMIFS(REA_10630_Fornecedores!$E:$E,REA_10630_Fornecedores!$C:$C,"&lt;="&amp;$B56,REA_10630_Fornecedores!$D:$D,H$6)-SUM(H$8:H55)</f>
        <v>0</v>
      </c>
      <c r="I56" s="6">
        <f t="shared" si="1"/>
        <v>1258109.8500000015</v>
      </c>
    </row>
    <row r="57" spans="2:9">
      <c r="B57" s="5">
        <v>45169</v>
      </c>
      <c r="C57" s="6">
        <f>SUMIF(REA_7385!$D:$D,"&lt;="&amp;$B57,REA_7385!$K:$K)-SUM(C$8:C56)</f>
        <v>0</v>
      </c>
      <c r="D57" s="6">
        <f>SUMIF(REA_7408!$D:$D,"&lt;="&amp;$B57,REA_7408!$AK:$AK)-SUM(D$8:D56)</f>
        <v>2061699.1499999985</v>
      </c>
      <c r="E57" s="6">
        <f>SUMIF(REA_7409!$D:$D,"&lt;="&amp;$B57,REA_7409!$W:$W)-SUM(E$8:E56)</f>
        <v>0</v>
      </c>
      <c r="F57" s="6">
        <f>SUMIFS(REA_10630_Fornecedores!$E:$E,REA_10630_Fornecedores!$C:$C,"&lt;="&amp;$B57,REA_10630_Fornecedores!$D:$D,F$6)-SUM(F$8:F56)</f>
        <v>1443072.3999999985</v>
      </c>
      <c r="G57" s="6">
        <f>SUMIFS(REA_10630_Fornecedores!$E:$E,REA_10630_Fornecedores!$C:$C,"&lt;="&amp;$B57,REA_10630_Fornecedores!$D:$D,G$6)-SUM(G$8:G56)</f>
        <v>9744918.1599999964</v>
      </c>
      <c r="H57" s="6">
        <f>SUMIFS(REA_10630_Fornecedores!$E:$E,REA_10630_Fornecedores!$C:$C,"&lt;="&amp;$B57,REA_10630_Fornecedores!$D:$D,H$6)-SUM(H$8:H56)</f>
        <v>2313676.0300000012</v>
      </c>
      <c r="I57" s="6">
        <f t="shared" si="1"/>
        <v>15563365.739999995</v>
      </c>
    </row>
    <row r="58" spans="2:9">
      <c r="B58" s="5">
        <v>45199</v>
      </c>
      <c r="C58" s="6">
        <f>SUMIF(REA_7385!$D:$D,"&lt;="&amp;$B58,REA_7385!$K:$K)-SUM(C$8:C57)</f>
        <v>0</v>
      </c>
      <c r="D58" s="6">
        <f>SUMIF(REA_7408!$D:$D,"&lt;="&amp;$B58,REA_7408!$AK:$AK)-SUM(D$8:D57)</f>
        <v>0</v>
      </c>
      <c r="E58" s="6">
        <f>SUMIF(REA_7409!$D:$D,"&lt;="&amp;$B58,REA_7409!$W:$W)-SUM(E$8:E57)</f>
        <v>0</v>
      </c>
      <c r="F58" s="6">
        <f>SUMIFS(REA_10630_Fornecedores!$E:$E,REA_10630_Fornecedores!$C:$C,"&lt;="&amp;$B58,REA_10630_Fornecedores!$D:$D,F$6)-SUM(F$8:F57)</f>
        <v>0</v>
      </c>
      <c r="G58" s="6">
        <f>SUMIFS(REA_10630_Fornecedores!$E:$E,REA_10630_Fornecedores!$C:$C,"&lt;="&amp;$B58,REA_10630_Fornecedores!$D:$D,G$6)-SUM(G$8:G57)</f>
        <v>0</v>
      </c>
      <c r="H58" s="6">
        <f>SUMIFS(REA_10630_Fornecedores!$E:$E,REA_10630_Fornecedores!$C:$C,"&lt;="&amp;$B58,REA_10630_Fornecedores!$D:$D,H$6)-SUM(H$8:H57)</f>
        <v>0</v>
      </c>
      <c r="I58" s="6">
        <f t="shared" si="1"/>
        <v>0</v>
      </c>
    </row>
    <row r="59" spans="2:9">
      <c r="B59" s="5">
        <v>45230</v>
      </c>
      <c r="C59" s="6">
        <f>SUMIF(REA_7385!$D:$D,"&lt;="&amp;$B59,REA_7385!$K:$K)-SUM(C$8:C58)</f>
        <v>0</v>
      </c>
      <c r="D59" s="6">
        <f>SUMIF(REA_7408!$D:$D,"&lt;="&amp;$B59,REA_7408!$AK:$AK)-SUM(D$8:D58)</f>
        <v>0</v>
      </c>
      <c r="E59" s="6">
        <f>SUMIF(REA_7409!$D:$D,"&lt;="&amp;$B59,REA_7409!$W:$W)-SUM(E$8:E58)</f>
        <v>0</v>
      </c>
      <c r="F59" s="6">
        <f>SUMIFS(REA_10630_Fornecedores!$E:$E,REA_10630_Fornecedores!$C:$C,"&lt;="&amp;$B59,REA_10630_Fornecedores!$D:$D,F$6)-SUM(F$8:F58)</f>
        <v>0</v>
      </c>
      <c r="G59" s="6">
        <f>SUMIFS(REA_10630_Fornecedores!$E:$E,REA_10630_Fornecedores!$C:$C,"&lt;="&amp;$B59,REA_10630_Fornecedores!$D:$D,G$6)-SUM(G$8:G58)</f>
        <v>0</v>
      </c>
      <c r="H59" s="6">
        <f>SUMIFS(REA_10630_Fornecedores!$E:$E,REA_10630_Fornecedores!$C:$C,"&lt;="&amp;$B59,REA_10630_Fornecedores!$D:$D,H$6)-SUM(H$8:H58)</f>
        <v>183936.84000000358</v>
      </c>
      <c r="I59" s="6">
        <f t="shared" si="1"/>
        <v>183936.84000000358</v>
      </c>
    </row>
    <row r="60" spans="2:9">
      <c r="B60" s="5">
        <v>45260</v>
      </c>
      <c r="C60" s="6">
        <f>SUMIF(REA_7385!$D:$D,"&lt;="&amp;$B60,REA_7385!$K:$K)-SUM(C$8:C59)</f>
        <v>0</v>
      </c>
      <c r="D60" s="6">
        <f>SUMIF(REA_7408!$D:$D,"&lt;="&amp;$B60,REA_7408!$AK:$AK)-SUM(D$8:D59)</f>
        <v>0</v>
      </c>
      <c r="E60" s="6">
        <f>SUMIF(REA_7409!$D:$D,"&lt;="&amp;$B60,REA_7409!$W:$W)-SUM(E$8:E59)</f>
        <v>0</v>
      </c>
      <c r="F60" s="6">
        <f>SUMIFS(REA_10630_Fornecedores!$E:$E,REA_10630_Fornecedores!$C:$C,"&lt;="&amp;$B60,REA_10630_Fornecedores!$D:$D,F$6)-SUM(F$8:F59)</f>
        <v>402405.82999999821</v>
      </c>
      <c r="G60" s="6">
        <f>SUMIFS(REA_10630_Fornecedores!$E:$E,REA_10630_Fornecedores!$C:$C,"&lt;="&amp;$B60,REA_10630_Fornecedores!$D:$D,G$6)-SUM(G$8:G59)</f>
        <v>598378.18999999762</v>
      </c>
      <c r="H60" s="6">
        <f>SUMIFS(REA_10630_Fornecedores!$E:$E,REA_10630_Fornecedores!$C:$C,"&lt;="&amp;$B60,REA_10630_Fornecedores!$D:$D,H$6)-SUM(H$8:H59)</f>
        <v>0</v>
      </c>
      <c r="I60" s="6">
        <f t="shared" si="1"/>
        <v>1000784.0199999958</v>
      </c>
    </row>
    <row r="61" spans="2:9">
      <c r="B61" s="5">
        <v>45291</v>
      </c>
      <c r="C61" s="6">
        <f>SUMIF(REA_7385!$D:$D,"&lt;="&amp;$B61,REA_7385!$K:$K)-SUM(C$8:C60)</f>
        <v>0</v>
      </c>
      <c r="D61" s="6">
        <f>SUMIF(REA_7408!$D:$D,"&lt;="&amp;$B61,REA_7408!$AK:$AK)-SUM(D$8:D60)</f>
        <v>0</v>
      </c>
      <c r="E61" s="6">
        <f>SUMIF(REA_7409!$D:$D,"&lt;="&amp;$B61,REA_7409!$W:$W)-SUM(E$8:E60)</f>
        <v>0</v>
      </c>
      <c r="F61" s="6">
        <f>SUMIFS(REA_10630_Fornecedores!$E:$E,REA_10630_Fornecedores!$C:$C,"&lt;="&amp;$B61,REA_10630_Fornecedores!$D:$D,F$6)-SUM(F$8:F60)</f>
        <v>0</v>
      </c>
      <c r="G61" s="6">
        <f>SUMIFS(REA_10630_Fornecedores!$E:$E,REA_10630_Fornecedores!$C:$C,"&lt;="&amp;$B61,REA_10630_Fornecedores!$D:$D,G$6)-SUM(G$8:G60)</f>
        <v>0</v>
      </c>
      <c r="H61" s="6">
        <f>SUMIFS(REA_10630_Fornecedores!$E:$E,REA_10630_Fornecedores!$C:$C,"&lt;="&amp;$B61,REA_10630_Fornecedores!$D:$D,H$6)-SUM(H$8:H60)</f>
        <v>4822159.299999997</v>
      </c>
      <c r="I61" s="6">
        <f t="shared" si="1"/>
        <v>4822159.299999997</v>
      </c>
    </row>
    <row r="62" spans="2:9">
      <c r="B62" s="5">
        <v>45322</v>
      </c>
      <c r="C62" s="6">
        <f>SUMIF(REA_7385!$D:$D,"&lt;="&amp;$B62,REA_7385!$K:$K)-SUM(C$8:C61)</f>
        <v>0</v>
      </c>
      <c r="D62" s="6">
        <f>SUMIF(REA_7408!$D:$D,"&lt;="&amp;$B62,REA_7408!$AK:$AK)-SUM(D$8:D61)</f>
        <v>0</v>
      </c>
      <c r="E62" s="6">
        <f>SUMIF(REA_7409!$D:$D,"&lt;="&amp;$B62,REA_7409!$W:$W)-SUM(E$8:E61)</f>
        <v>9679328.549999997</v>
      </c>
      <c r="F62" s="6">
        <f>SUMIFS(REA_10630_Fornecedores!$E:$E,REA_10630_Fornecedores!$C:$C,"&lt;="&amp;$B62,REA_10630_Fornecedores!$D:$D,F$6)-SUM(F$8:F61)</f>
        <v>0</v>
      </c>
      <c r="G62" s="6">
        <f>SUMIFS(REA_10630_Fornecedores!$E:$E,REA_10630_Fornecedores!$C:$C,"&lt;="&amp;$B62,REA_10630_Fornecedores!$D:$D,G$6)-SUM(G$8:G61)</f>
        <v>296445.67000000179</v>
      </c>
      <c r="H62" s="6">
        <f>SUMIFS(REA_10630_Fornecedores!$E:$E,REA_10630_Fornecedores!$C:$C,"&lt;="&amp;$B62,REA_10630_Fornecedores!$D:$D,H$6)-SUM(H$8:H61)</f>
        <v>0</v>
      </c>
      <c r="I62" s="6">
        <f t="shared" ref="I62:I73" si="2">SUM(C62:H62)</f>
        <v>9975774.2199999988</v>
      </c>
    </row>
    <row r="63" spans="2:9">
      <c r="B63" s="5">
        <v>45351</v>
      </c>
      <c r="C63" s="6">
        <f>SUMIF(REA_7385!$D:$D,"&lt;="&amp;$B63,REA_7385!$K:$K)-SUM(C$8:C62)</f>
        <v>0</v>
      </c>
      <c r="D63" s="6">
        <f>SUMIF(REA_7408!$D:$D,"&lt;="&amp;$B63,REA_7408!$AK:$AK)-SUM(D$8:D62)</f>
        <v>3308269.7700000033</v>
      </c>
      <c r="E63" s="6">
        <f>SUMIF(REA_7409!$D:$D,"&lt;="&amp;$B63,REA_7409!$W:$W)-SUM(E$8:E62)</f>
        <v>0</v>
      </c>
      <c r="F63" s="6">
        <f>SUMIFS(REA_10630_Fornecedores!$E:$E,REA_10630_Fornecedores!$C:$C,"&lt;="&amp;$B63,REA_10630_Fornecedores!$D:$D,F$6)-SUM(F$8:F62)</f>
        <v>0</v>
      </c>
      <c r="G63" s="6">
        <f>SUMIFS(REA_10630_Fornecedores!$E:$E,REA_10630_Fornecedores!$C:$C,"&lt;="&amp;$B63,REA_10630_Fornecedores!$D:$D,G$6)-SUM(G$8:G62)</f>
        <v>18384</v>
      </c>
      <c r="H63" s="6">
        <f>SUMIFS(REA_10630_Fornecedores!$E:$E,REA_10630_Fornecedores!$C:$C,"&lt;="&amp;$B63,REA_10630_Fornecedores!$D:$D,H$6)-SUM(H$8:H62)</f>
        <v>0</v>
      </c>
      <c r="I63" s="6">
        <f t="shared" si="2"/>
        <v>3326653.7700000033</v>
      </c>
    </row>
    <row r="64" spans="2:9">
      <c r="B64" s="5">
        <v>45382</v>
      </c>
      <c r="C64" s="6">
        <f>SUMIF(REA_7385!$D:$D,"&lt;="&amp;$B64,REA_7385!$K:$K)-SUM(C$8:C63)</f>
        <v>0</v>
      </c>
      <c r="D64" s="6">
        <f>SUMIF(REA_7408!$D:$D,"&lt;="&amp;$B64,REA_7408!$AK:$AK)-SUM(D$8:D63)</f>
        <v>0</v>
      </c>
      <c r="E64" s="6">
        <f>SUMIF(REA_7409!$D:$D,"&lt;="&amp;$B64,REA_7409!$W:$W)-SUM(E$8:E63)</f>
        <v>458360.09000000358</v>
      </c>
      <c r="F64" s="6">
        <f>SUMIFS(REA_10630_Fornecedores!$E:$E,REA_10630_Fornecedores!$C:$C,"&lt;="&amp;$B64,REA_10630_Fornecedores!$D:$D,F$6)-SUM(F$8:F63)</f>
        <v>0</v>
      </c>
      <c r="G64" s="6">
        <f>SUMIFS(REA_10630_Fornecedores!$E:$E,REA_10630_Fornecedores!$C:$C,"&lt;="&amp;$B64,REA_10630_Fornecedores!$D:$D,G$6)-SUM(G$8:G63)</f>
        <v>0</v>
      </c>
      <c r="H64" s="6">
        <f>SUMIFS(REA_10630_Fornecedores!$E:$E,REA_10630_Fornecedores!$C:$C,"&lt;="&amp;$B64,REA_10630_Fornecedores!$D:$D,H$6)-SUM(H$8:H63)</f>
        <v>0</v>
      </c>
      <c r="I64" s="6">
        <f t="shared" si="2"/>
        <v>458360.09000000358</v>
      </c>
    </row>
    <row r="65" spans="2:9">
      <c r="B65" s="5">
        <v>45412</v>
      </c>
      <c r="C65" s="6">
        <f>SUMIF(REA_7385!$D:$D,"&lt;="&amp;$B65,REA_7385!$K:$K)-SUM(C$8:C64)</f>
        <v>0</v>
      </c>
      <c r="D65" s="6">
        <f>SUMIF(REA_7408!$D:$D,"&lt;="&amp;$B65,REA_7408!$AK:$AK)-SUM(D$8:D64)</f>
        <v>0</v>
      </c>
      <c r="E65" s="6">
        <f>SUMIF(REA_7409!$D:$D,"&lt;="&amp;$B65,REA_7409!$W:$W)-SUM(E$8:E64)</f>
        <v>0</v>
      </c>
      <c r="F65" s="6">
        <f>SUMIFS(REA_10630_Fornecedores!$E:$E,REA_10630_Fornecedores!$C:$C,"&lt;="&amp;$B65,REA_10630_Fornecedores!$D:$D,F$6)-SUM(F$8:F64)</f>
        <v>313381.89999999851</v>
      </c>
      <c r="G65" s="6">
        <f>SUMIFS(REA_10630_Fornecedores!$E:$E,REA_10630_Fornecedores!$C:$C,"&lt;="&amp;$B65,REA_10630_Fornecedores!$D:$D,G$6)-SUM(G$8:G64)</f>
        <v>0</v>
      </c>
      <c r="H65" s="6">
        <f>SUMIFS(REA_10630_Fornecedores!$E:$E,REA_10630_Fornecedores!$C:$C,"&lt;="&amp;$B65,REA_10630_Fornecedores!$D:$D,H$6)-SUM(H$8:H64)</f>
        <v>0</v>
      </c>
      <c r="I65" s="6">
        <f t="shared" si="2"/>
        <v>313381.89999999851</v>
      </c>
    </row>
    <row r="66" spans="2:9">
      <c r="B66" s="5">
        <v>45443</v>
      </c>
      <c r="C66" s="6">
        <f>SUMIF(REA_7385!$D:$D,"&lt;="&amp;$B66,REA_7385!$K:$K)-SUM(C$8:C65)</f>
        <v>0</v>
      </c>
      <c r="D66" s="6">
        <f>SUMIF(REA_7408!$D:$D,"&lt;="&amp;$B66,REA_7408!$AK:$AK)-SUM(D$8:D65)</f>
        <v>0</v>
      </c>
      <c r="E66" s="6">
        <f>SUMIF(REA_7409!$D:$D,"&lt;="&amp;$B66,REA_7409!$W:$W)-SUM(E$8:E65)</f>
        <v>956365.90999999642</v>
      </c>
      <c r="F66" s="6">
        <f>SUMIFS(REA_10630_Fornecedores!$E:$E,REA_10630_Fornecedores!$C:$C,"&lt;="&amp;$B66,REA_10630_Fornecedores!$D:$D,F$6)-SUM(F$8:F65)</f>
        <v>198168.07999999821</v>
      </c>
      <c r="G66" s="6">
        <f>SUMIFS(REA_10630_Fornecedores!$E:$E,REA_10630_Fornecedores!$C:$C,"&lt;="&amp;$B66,REA_10630_Fornecedores!$D:$D,G$6)-SUM(G$8:G65)</f>
        <v>0</v>
      </c>
      <c r="H66" s="6">
        <f>SUMIFS(REA_10630_Fornecedores!$E:$E,REA_10630_Fornecedores!$C:$C,"&lt;="&amp;$B66,REA_10630_Fornecedores!$D:$D,H$6)-SUM(H$8:H65)</f>
        <v>2345552.2400000021</v>
      </c>
      <c r="I66" s="6">
        <f t="shared" si="2"/>
        <v>3500086.2299999967</v>
      </c>
    </row>
    <row r="67" spans="2:9">
      <c r="B67" s="5">
        <v>45473</v>
      </c>
      <c r="C67" s="6">
        <f>SUMIF(REA_7385!$D:$D,"&lt;="&amp;$B67,REA_7385!$K:$K)-SUM(C$8:C66)</f>
        <v>0</v>
      </c>
      <c r="D67" s="6">
        <f>SUMIF(REA_7408!$D:$D,"&lt;="&amp;$B67,REA_7408!$AK:$AK)-SUM(D$8:D66)</f>
        <v>0</v>
      </c>
      <c r="E67" s="6">
        <f>SUMIF(REA_7409!$D:$D,"&lt;="&amp;$B67,REA_7409!$W:$W)-SUM(E$8:E66)</f>
        <v>170116.95999999344</v>
      </c>
      <c r="F67" s="6">
        <f>SUMIFS(REA_10630_Fornecedores!$E:$E,REA_10630_Fornecedores!$C:$C,"&lt;="&amp;$B67,REA_10630_Fornecedores!$D:$D,F$6)-SUM(F$8:F66)</f>
        <v>33200.840000003576</v>
      </c>
      <c r="G67" s="6">
        <f>SUMIFS(REA_10630_Fornecedores!$E:$E,REA_10630_Fornecedores!$C:$C,"&lt;="&amp;$B67,REA_10630_Fornecedores!$D:$D,G$6)-SUM(G$8:G66)</f>
        <v>0</v>
      </c>
      <c r="H67" s="6">
        <f>SUMIFS(REA_10630_Fornecedores!$E:$E,REA_10630_Fornecedores!$C:$C,"&lt;="&amp;$B67,REA_10630_Fornecedores!$D:$D,H$6)-SUM(H$8:H66)</f>
        <v>0</v>
      </c>
      <c r="I67" s="6">
        <f t="shared" si="2"/>
        <v>203317.79999999702</v>
      </c>
    </row>
    <row r="68" spans="2:9">
      <c r="B68" s="5">
        <v>45504</v>
      </c>
      <c r="C68" s="6">
        <f>SUMIF(REA_7385!$D:$D,"&lt;="&amp;$B68,REA_7385!$K:$K)-SUM(C$8:C67)</f>
        <v>0</v>
      </c>
      <c r="D68" s="6">
        <f>SUMIF(REA_7408!$D:$D,"&lt;="&amp;$B68,REA_7408!$AK:$AK)-SUM(D$8:D67)</f>
        <v>0</v>
      </c>
      <c r="E68" s="6">
        <f>SUMIF(REA_7409!$D:$D,"&lt;="&amp;$B68,REA_7409!$W:$W)-SUM(E$8:E67)</f>
        <v>0</v>
      </c>
      <c r="F68" s="6">
        <f>SUMIFS(REA_10630_Fornecedores!$E:$E,REA_10630_Fornecedores!$C:$C,"&lt;="&amp;$B68,REA_10630_Fornecedores!$D:$D,F$6)-SUM(F$8:F67)</f>
        <v>0</v>
      </c>
      <c r="G68" s="6">
        <f>SUMIFS(REA_10630_Fornecedores!$E:$E,REA_10630_Fornecedores!$C:$C,"&lt;="&amp;$B68,REA_10630_Fornecedores!$D:$D,G$6)-SUM(G$8:G67)</f>
        <v>0</v>
      </c>
      <c r="H68" s="6">
        <f>SUMIFS(REA_10630_Fornecedores!$E:$E,REA_10630_Fornecedores!$C:$C,"&lt;="&amp;$B68,REA_10630_Fornecedores!$D:$D,H$6)-SUM(H$8:H67)</f>
        <v>15140</v>
      </c>
      <c r="I68" s="6">
        <f t="shared" si="2"/>
        <v>15140</v>
      </c>
    </row>
    <row r="69" spans="2:9">
      <c r="B69" s="5">
        <v>45535</v>
      </c>
      <c r="C69" s="6">
        <f>SUMIF(REA_7385!$D:$D,"&lt;="&amp;$B69,REA_7385!$K:$K)-SUM(C$8:C68)</f>
        <v>0</v>
      </c>
      <c r="D69" s="6">
        <f>SUMIF(REA_7408!$D:$D,"&lt;="&amp;$B69,REA_7408!$AK:$AK)-SUM(D$8:D68)</f>
        <v>0</v>
      </c>
      <c r="E69" s="6">
        <f>SUMIF(REA_7409!$D:$D,"&lt;="&amp;$B69,REA_7409!$W:$W)-SUM(E$8:E68)</f>
        <v>374519.3900000006</v>
      </c>
      <c r="F69" s="6">
        <f>SUMIFS(REA_10630_Fornecedores!$E:$E,REA_10630_Fornecedores!$C:$C,"&lt;="&amp;$B69,REA_10630_Fornecedores!$D:$D,F$6)-SUM(F$8:F68)</f>
        <v>15140</v>
      </c>
      <c r="G69" s="6">
        <f>SUMIFS(REA_10630_Fornecedores!$E:$E,REA_10630_Fornecedores!$C:$C,"&lt;="&amp;$B69,REA_10630_Fornecedores!$D:$D,G$6)-SUM(G$8:G68)</f>
        <v>0</v>
      </c>
      <c r="H69" s="6">
        <f>SUMIFS(REA_10630_Fornecedores!$E:$E,REA_10630_Fornecedores!$C:$C,"&lt;="&amp;$B69,REA_10630_Fornecedores!$D:$D,H$6)-SUM(H$8:H68)</f>
        <v>1215125.1599999964</v>
      </c>
      <c r="I69" s="6">
        <f t="shared" si="2"/>
        <v>1604784.549999997</v>
      </c>
    </row>
    <row r="70" spans="2:9">
      <c r="B70" s="5">
        <v>45565</v>
      </c>
      <c r="C70" s="6">
        <f>SUMIF(REA_7385!$D:$D,"&lt;="&amp;$B70,REA_7385!$K:$K)-SUM(C$8:C69)</f>
        <v>0</v>
      </c>
      <c r="D70" s="6">
        <f>SUMIF(REA_7408!$D:$D,"&lt;="&amp;$B70,REA_7408!$AK:$AK)-SUM(D$8:D69)</f>
        <v>0</v>
      </c>
      <c r="E70" s="6">
        <f>SUMIF(REA_7409!$D:$D,"&lt;="&amp;$B70,REA_7409!$W:$W)-SUM(E$8:E69)</f>
        <v>128652.29000000656</v>
      </c>
      <c r="F70" s="6">
        <f>SUMIFS(REA_10630_Fornecedores!$E:$E,REA_10630_Fornecedores!$C:$C,"&lt;="&amp;$B70,REA_10630_Fornecedores!$D:$D,F$6)-SUM(F$8:F69)</f>
        <v>0</v>
      </c>
      <c r="G70" s="6">
        <f>SUMIFS(REA_10630_Fornecedores!$E:$E,REA_10630_Fornecedores!$C:$C,"&lt;="&amp;$B70,REA_10630_Fornecedores!$D:$D,G$6)-SUM(G$8:G69)</f>
        <v>0</v>
      </c>
      <c r="H70" s="6">
        <f>SUMIFS(REA_10630_Fornecedores!$E:$E,REA_10630_Fornecedores!$C:$C,"&lt;="&amp;$B70,REA_10630_Fornecedores!$D:$D,H$6)-SUM(H$8:H69)</f>
        <v>8840</v>
      </c>
      <c r="I70" s="6">
        <f t="shared" si="2"/>
        <v>137492.29000000656</v>
      </c>
    </row>
    <row r="71" spans="2:9">
      <c r="B71" s="5">
        <v>45596</v>
      </c>
      <c r="C71" s="6">
        <f>SUMIF(REA_7385!$D:$D,"&lt;="&amp;$B71,REA_7385!$K:$K)-SUM(C$8:C70)</f>
        <v>0</v>
      </c>
      <c r="D71" s="6">
        <f>SUMIF(REA_7408!$D:$D,"&lt;="&amp;$B71,REA_7408!$AK:$AK)-SUM(D$8:D70)</f>
        <v>0</v>
      </c>
      <c r="E71" s="6">
        <f>SUMIF(REA_7409!$D:$D,"&lt;="&amp;$B71,REA_7409!$W:$W)-SUM(E$8:E70)</f>
        <v>85058.480000004172</v>
      </c>
      <c r="F71" s="6">
        <f>SUMIFS(REA_10630_Fornecedores!$E:$E,REA_10630_Fornecedores!$C:$C,"&lt;="&amp;$B71,REA_10630_Fornecedores!$D:$D,F$6)-SUM(F$8:F70)</f>
        <v>1121484.700000003</v>
      </c>
      <c r="G71" s="6">
        <f>SUMIFS(REA_10630_Fornecedores!$E:$E,REA_10630_Fornecedores!$C:$C,"&lt;="&amp;$B71,REA_10630_Fornecedores!$D:$D,G$6)-SUM(G$8:G70)</f>
        <v>0</v>
      </c>
      <c r="H71" s="6">
        <f>SUMIFS(REA_10630_Fornecedores!$E:$E,REA_10630_Fornecedores!$C:$C,"&lt;="&amp;$B71,REA_10630_Fornecedores!$D:$D,H$6)-SUM(H$8:H70)</f>
        <v>926277.63000000268</v>
      </c>
      <c r="I71" s="6">
        <f t="shared" si="2"/>
        <v>2132820.8100000098</v>
      </c>
    </row>
    <row r="72" spans="2:9">
      <c r="B72" s="5">
        <v>45626</v>
      </c>
      <c r="C72" s="6">
        <f>SUMIF(REA_7385!$D:$D,"&lt;="&amp;$B72,REA_7385!$K:$K)-SUM(C$8:C71)</f>
        <v>0</v>
      </c>
      <c r="D72" s="6">
        <f>SUMIF(REA_7408!$D:$D,"&lt;="&amp;$B72,REA_7408!$AK:$AK)-SUM(D$8:D71)</f>
        <v>0</v>
      </c>
      <c r="E72" s="6">
        <f>SUMIF(REA_7409!$D:$D,"&lt;="&amp;$B72,REA_7409!$W:$W)-SUM(E$8:E71)</f>
        <v>85058.480000004172</v>
      </c>
      <c r="F72" s="6">
        <f>SUMIFS(REA_10630_Fornecedores!$E:$E,REA_10630_Fornecedores!$C:$C,"&lt;="&amp;$B72,REA_10630_Fornecedores!$D:$D,F$6)-SUM(F$8:F71)</f>
        <v>0</v>
      </c>
      <c r="G72" s="6">
        <f>SUMIFS(REA_10630_Fornecedores!$E:$E,REA_10630_Fornecedores!$C:$C,"&lt;="&amp;$B72,REA_10630_Fornecedores!$D:$D,G$6)-SUM(G$8:G71)</f>
        <v>0</v>
      </c>
      <c r="H72" s="6">
        <f>SUMIFS(REA_10630_Fornecedores!$E:$E,REA_10630_Fornecedores!$C:$C,"&lt;="&amp;$B72,REA_10630_Fornecedores!$D:$D,H$6)-SUM(H$8:H71)</f>
        <v>80360.689999997616</v>
      </c>
      <c r="I72" s="6">
        <f t="shared" si="2"/>
        <v>165419.17000000179</v>
      </c>
    </row>
    <row r="73" spans="2:9">
      <c r="B73" s="5">
        <v>45657</v>
      </c>
      <c r="C73" s="6">
        <f>SUMIF(REA_7385!$D:$D,"&lt;="&amp;$B73,REA_7385!$K:$K)-SUM(C$8:C72)</f>
        <v>0</v>
      </c>
      <c r="D73" s="6">
        <f>SUMIF(REA_7408!$D:$D,"&lt;="&amp;$B73,REA_7408!$AK:$AK)-SUM(D$8:D72)</f>
        <v>0</v>
      </c>
      <c r="E73" s="6">
        <f>SUMIF(REA_7409!$D:$D,"&lt;="&amp;$B73,REA_7409!$W:$W)-SUM(E$8:E72)</f>
        <v>0</v>
      </c>
      <c r="F73" s="6">
        <f>SUMIFS(REA_10630_Fornecedores!$E:$E,REA_10630_Fornecedores!$C:$C,"&lt;="&amp;$B73,REA_10630_Fornecedores!$D:$D,F$6)-SUM(F$8:F72)</f>
        <v>0</v>
      </c>
      <c r="G73" s="6">
        <f>SUMIFS(REA_10630_Fornecedores!$E:$E,REA_10630_Fornecedores!$C:$C,"&lt;="&amp;$B73,REA_10630_Fornecedores!$D:$D,G$6)-SUM(G$8:G72)</f>
        <v>0</v>
      </c>
      <c r="H73" s="6">
        <f>SUMIFS(REA_10630_Fornecedores!$E:$E,REA_10630_Fornecedores!$C:$C,"&lt;="&amp;$B73,REA_10630_Fornecedores!$D:$D,H$6)-SUM(H$8:H72)</f>
        <v>0</v>
      </c>
      <c r="I73" s="6">
        <f t="shared" si="2"/>
        <v>0</v>
      </c>
    </row>
    <row r="74" spans="2:9">
      <c r="B74" s="5">
        <v>45688</v>
      </c>
      <c r="C74" s="6">
        <f>SUMIF(REA_7385!$D:$D,"&lt;="&amp;$B74,REA_7385!$K:$K)-SUM(C$8:C73)</f>
        <v>0</v>
      </c>
      <c r="D74" s="6">
        <f>SUMIF(REA_7408!$D:$D,"&lt;="&amp;$B74,REA_7408!$AK:$AK)-SUM(D$8:D73)</f>
        <v>0</v>
      </c>
      <c r="E74" s="6">
        <f>SUMIF(REA_7409!$D:$D,"&lt;="&amp;$B74,REA_7409!$W:$W)-SUM(E$8:E73)</f>
        <v>170978.90000000596</v>
      </c>
      <c r="F74" s="6">
        <f>SUMIFS(REA_10630_Fornecedores!$E:$E,REA_10630_Fornecedores!$C:$C,"&lt;="&amp;$B74,REA_10630_Fornecedores!$D:$D,F$6)-SUM(F$8:F73)</f>
        <v>0</v>
      </c>
      <c r="G74" s="6">
        <f>SUMIFS(REA_10630_Fornecedores!$E:$E,REA_10630_Fornecedores!$C:$C,"&lt;="&amp;$B74,REA_10630_Fornecedores!$D:$D,G$6)-SUM(G$8:G73)</f>
        <v>0</v>
      </c>
      <c r="H74" s="6">
        <f>SUMIFS(REA_10630_Fornecedores!$E:$E,REA_10630_Fornecedores!$C:$C,"&lt;="&amp;$B74,REA_10630_Fornecedores!$D:$D,H$6)-SUM(H$8:H73)</f>
        <v>0</v>
      </c>
      <c r="I74" s="6">
        <f t="shared" ref="I74" si="3">SUM(C74:H74)</f>
        <v>170978.90000000596</v>
      </c>
    </row>
    <row r="75" spans="2:9">
      <c r="B75" s="5">
        <v>45716</v>
      </c>
      <c r="C75" s="6">
        <f>SUMIF(REA_7385!$D:$D,"&lt;="&amp;$B75,REA_7385!$K:$K)-SUM(C$8:C74)</f>
        <v>0</v>
      </c>
      <c r="D75" s="6">
        <f>SUMIF(REA_7408!$D:$D,"&lt;="&amp;$B75,REA_7408!$AK:$AK)-SUM(D$8:D74)</f>
        <v>0</v>
      </c>
      <c r="E75" s="6">
        <f>SUMIF(REA_7409!$D:$D,"&lt;="&amp;$B75,REA_7409!$W:$W)-SUM(E$8:E74)</f>
        <v>0</v>
      </c>
      <c r="F75" s="6">
        <f>SUMIFS(REA_10630_Fornecedores!$E:$E,REA_10630_Fornecedores!$C:$C,"&lt;="&amp;$B75,REA_10630_Fornecedores!$D:$D,F$6)-SUM(F$8:F74)</f>
        <v>4413045.8800000027</v>
      </c>
      <c r="G75" s="6">
        <f>SUMIFS(REA_10630_Fornecedores!$E:$E,REA_10630_Fornecedores!$C:$C,"&lt;="&amp;$B75,REA_10630_Fornecedores!$D:$D,G$6)-SUM(G$8:G74)</f>
        <v>0</v>
      </c>
      <c r="H75" s="6">
        <f>SUMIFS(REA_10630_Fornecedores!$E:$E,REA_10630_Fornecedores!$C:$C,"&lt;="&amp;$B75,REA_10630_Fornecedores!$D:$D,H$6)-SUM(H$8:H74)</f>
        <v>0</v>
      </c>
      <c r="I75" s="6">
        <f t="shared" ref="I75" si="4">SUM(C75:H75)</f>
        <v>4413045.8800000027</v>
      </c>
    </row>
    <row r="76" spans="2:9" ht="17.5">
      <c r="B76" s="10" t="s">
        <v>211</v>
      </c>
      <c r="C76" s="6">
        <f>SUMIF(REA_7385!$D:$D,$B76,REA_7385!$K:$K)</f>
        <v>0</v>
      </c>
      <c r="D76" s="6">
        <f>SUMIF(REA_7408!$D:$D,$B$76,REA_7408!$AK:$AK)</f>
        <v>0</v>
      </c>
      <c r="E76" s="6">
        <f>SUMIF(REA_7409!$D:$D,$B$76,REA_7409!$W:$W)</f>
        <v>0</v>
      </c>
      <c r="F76" s="6">
        <f>SUMIFS(REA_10630_Fornecedores!$E:$E,REA_10630_Fornecedores!$D:$D,F$6,REA_10630_Fornecedores!$C:$C,"Pendente1")</f>
        <v>0</v>
      </c>
      <c r="G76" s="6">
        <f>SUMIFS(REA_10630_Fornecedores!$E:$E,REA_10630_Fornecedores!$D:$D,G$6,REA_10630_Fornecedores!$C:$C,"Pendente1")</f>
        <v>0</v>
      </c>
      <c r="H76" s="6">
        <f>SUMIFS(REA_10630_Fornecedores!$E:$E,REA_10630_Fornecedores!$D:$D,H$6,REA_10630_Fornecedores!$C:$C,"Pendente1")</f>
        <v>0</v>
      </c>
      <c r="I76" s="6">
        <f t="shared" si="1"/>
        <v>0</v>
      </c>
    </row>
    <row r="77" spans="2:9" ht="21" customHeight="1">
      <c r="B77" s="2" t="s">
        <v>17</v>
      </c>
      <c r="C77" s="11">
        <f>C7-SUM(C$8:C$76)</f>
        <v>53456.34999999404</v>
      </c>
      <c r="D77" s="11">
        <f>D7-SUM(D$8:D$76)</f>
        <v>9.9999979138374329E-3</v>
      </c>
      <c r="E77" s="11">
        <f>E7-SUM(E$8:E$76)</f>
        <v>124299150.03999999</v>
      </c>
      <c r="F77" s="11">
        <f>F7-SUM(F$8:F$76)</f>
        <v>5070288.8400000036</v>
      </c>
      <c r="G77" s="11">
        <f>G7-SUM(G$8:G$76)</f>
        <v>24683819.890000015</v>
      </c>
      <c r="H77" s="11">
        <f>H7-SUM(H$8:H$76)</f>
        <v>867655.20999999344</v>
      </c>
      <c r="I77" s="12">
        <f>SUM(C77:H77)</f>
        <v>154974370.33999997</v>
      </c>
    </row>
    <row r="78" spans="2:9" ht="14.25" customHeight="1"/>
    <row r="79" spans="2:9" ht="16.5">
      <c r="B79" s="13" t="s">
        <v>212</v>
      </c>
    </row>
    <row r="80" spans="2:9">
      <c r="H80" s="87"/>
    </row>
    <row r="82" spans="8:8">
      <c r="H82" s="87"/>
    </row>
  </sheetData>
  <mergeCells count="2">
    <mergeCell ref="B5:B6"/>
    <mergeCell ref="I5:I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0F8E-31E2-4199-BA1E-9F10ECC9217C}">
  <dimension ref="A2:N92"/>
  <sheetViews>
    <sheetView showGridLines="0" zoomScale="80" zoomScaleNormal="80" workbookViewId="0">
      <pane xSplit="4" ySplit="9" topLeftCell="E77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E10" sqref="E10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3.54296875" style="14" customWidth="1"/>
    <col min="5" max="12" width="24.7265625" style="14" customWidth="1"/>
    <col min="13" max="13" width="14" style="14" bestFit="1" customWidth="1"/>
    <col min="14" max="14" width="11.26953125" style="14" bestFit="1" customWidth="1"/>
    <col min="15" max="16384" width="8.7265625" style="14"/>
  </cols>
  <sheetData>
    <row r="2" spans="1:14" ht="24">
      <c r="B2" s="57" t="s">
        <v>14</v>
      </c>
      <c r="C2" s="16"/>
      <c r="D2" s="16"/>
      <c r="E2" s="16"/>
      <c r="F2" s="15"/>
      <c r="G2" s="17"/>
      <c r="H2" s="17"/>
      <c r="I2" s="17"/>
      <c r="J2" s="17"/>
      <c r="K2" s="17"/>
      <c r="L2" s="17"/>
    </row>
    <row r="3" spans="1:14" ht="16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34"/>
    </row>
    <row r="4" spans="1:14" ht="16">
      <c r="A4" s="18"/>
      <c r="B4" s="58" t="s">
        <v>6</v>
      </c>
      <c r="C4" s="59"/>
      <c r="D4" s="58" t="s">
        <v>7</v>
      </c>
      <c r="E4" s="16"/>
      <c r="F4" s="20"/>
      <c r="G4" s="21"/>
      <c r="H4" s="21"/>
      <c r="I4" s="21"/>
      <c r="J4" s="21"/>
      <c r="K4" s="21"/>
      <c r="L4" s="21"/>
      <c r="M4" s="21"/>
    </row>
    <row r="5" spans="1:14" ht="16">
      <c r="A5" s="18"/>
      <c r="B5" s="58" t="s">
        <v>0</v>
      </c>
      <c r="C5" s="59"/>
      <c r="D5" s="58" t="s">
        <v>21</v>
      </c>
      <c r="E5" s="16"/>
      <c r="F5" s="20"/>
      <c r="G5" s="45" t="s">
        <v>5</v>
      </c>
      <c r="H5" s="21"/>
      <c r="I5" s="21"/>
      <c r="J5" s="21"/>
      <c r="K5" s="21"/>
      <c r="L5" s="21"/>
      <c r="M5" s="21"/>
    </row>
    <row r="6" spans="1:14" ht="16">
      <c r="A6" s="18"/>
      <c r="B6" s="58" t="s">
        <v>1</v>
      </c>
      <c r="C6" s="60"/>
      <c r="D6" s="80">
        <v>119441737.31999999</v>
      </c>
      <c r="E6" s="20"/>
      <c r="F6" s="20"/>
      <c r="G6" s="21"/>
      <c r="H6" s="21"/>
      <c r="I6" s="21"/>
      <c r="J6" s="21"/>
      <c r="K6" s="21"/>
      <c r="L6" s="21"/>
      <c r="M6" s="21"/>
    </row>
    <row r="7" spans="1:14" ht="16">
      <c r="A7" s="18"/>
      <c r="B7" s="21"/>
      <c r="C7" s="21"/>
      <c r="D7" s="37"/>
      <c r="E7" s="21"/>
      <c r="F7" s="21"/>
      <c r="G7" s="21"/>
      <c r="H7" s="21"/>
      <c r="I7" s="21"/>
      <c r="J7" s="21"/>
      <c r="K7" s="21"/>
      <c r="L7" s="21"/>
      <c r="M7" s="21"/>
    </row>
    <row r="8" spans="1:14" ht="30" customHeight="1">
      <c r="A8" s="27"/>
      <c r="B8" s="90" t="s">
        <v>8</v>
      </c>
      <c r="C8" s="90" t="s">
        <v>15</v>
      </c>
      <c r="D8" s="90" t="s">
        <v>16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3</v>
      </c>
      <c r="K8" s="91" t="s">
        <v>2</v>
      </c>
      <c r="L8" s="91" t="s">
        <v>17</v>
      </c>
      <c r="M8" s="39"/>
      <c r="N8" s="39"/>
    </row>
    <row r="9" spans="1:14" ht="15">
      <c r="A9" s="27"/>
      <c r="B9" s="90"/>
      <c r="C9" s="90"/>
      <c r="D9" s="90"/>
      <c r="E9" s="28" t="s">
        <v>90</v>
      </c>
      <c r="F9" s="28" t="s">
        <v>135</v>
      </c>
      <c r="G9" s="28" t="s">
        <v>107</v>
      </c>
      <c r="H9" s="28" t="s">
        <v>136</v>
      </c>
      <c r="I9" s="28" t="s">
        <v>106</v>
      </c>
      <c r="J9" s="28" t="s">
        <v>91</v>
      </c>
      <c r="K9" s="91"/>
      <c r="L9" s="91"/>
      <c r="M9" s="39"/>
      <c r="N9" s="39"/>
    </row>
    <row r="10" spans="1:14" ht="14.5">
      <c r="A10" s="18"/>
      <c r="B10" s="55">
        <v>1634</v>
      </c>
      <c r="C10" s="50">
        <v>43623</v>
      </c>
      <c r="D10" s="50">
        <v>43661</v>
      </c>
      <c r="E10" s="51">
        <v>1664707.26</v>
      </c>
      <c r="F10" s="51">
        <v>0</v>
      </c>
      <c r="G10" s="51">
        <v>0</v>
      </c>
      <c r="H10" s="51">
        <v>0</v>
      </c>
      <c r="I10" s="51">
        <v>0</v>
      </c>
      <c r="J10" s="51">
        <v>5041930.63</v>
      </c>
      <c r="K10" s="51">
        <f>SUM(E10:J10)</f>
        <v>6706637.8899999997</v>
      </c>
      <c r="L10" s="51">
        <f>$D$6-SUM(K$10:K10)</f>
        <v>112735099.42999999</v>
      </c>
      <c r="M10" s="40"/>
      <c r="N10" s="40"/>
    </row>
    <row r="11" spans="1:14" ht="14.5">
      <c r="A11" s="18"/>
      <c r="B11" s="55">
        <v>1634</v>
      </c>
      <c r="C11" s="50">
        <v>43623</v>
      </c>
      <c r="D11" s="50">
        <v>43736</v>
      </c>
      <c r="E11" s="51">
        <v>0</v>
      </c>
      <c r="F11" s="51">
        <v>0</v>
      </c>
      <c r="G11" s="51">
        <v>374471.44</v>
      </c>
      <c r="H11" s="51">
        <v>0</v>
      </c>
      <c r="I11" s="51">
        <v>0</v>
      </c>
      <c r="J11" s="51">
        <v>0</v>
      </c>
      <c r="K11" s="51">
        <f t="shared" ref="K11:K41" si="0">SUM(E11:J11)</f>
        <v>374471.44</v>
      </c>
      <c r="L11" s="51">
        <f>$D$6-SUM(K$10:K11)</f>
        <v>112360627.98999999</v>
      </c>
      <c r="M11" s="40"/>
      <c r="N11" s="40"/>
    </row>
    <row r="12" spans="1:14" ht="14.5">
      <c r="A12" s="18"/>
      <c r="B12" s="55">
        <v>2053</v>
      </c>
      <c r="C12" s="50">
        <v>43672</v>
      </c>
      <c r="D12" s="50">
        <v>43677</v>
      </c>
      <c r="E12" s="51">
        <v>2177412.13</v>
      </c>
      <c r="F12" s="51">
        <v>0</v>
      </c>
      <c r="G12" s="51">
        <v>0</v>
      </c>
      <c r="H12" s="51">
        <v>0</v>
      </c>
      <c r="I12" s="51">
        <v>0</v>
      </c>
      <c r="J12" s="51">
        <v>227561.82</v>
      </c>
      <c r="K12" s="51">
        <f t="shared" si="0"/>
        <v>2404973.9499999997</v>
      </c>
      <c r="L12" s="51">
        <f>$D$6-SUM(K$10:K12)</f>
        <v>109955654.03999999</v>
      </c>
      <c r="M12" s="46"/>
      <c r="N12" s="40"/>
    </row>
    <row r="13" spans="1:14" ht="14.5">
      <c r="A13" s="18"/>
      <c r="B13" s="55">
        <v>2435</v>
      </c>
      <c r="C13" s="50">
        <v>43712</v>
      </c>
      <c r="D13" s="50">
        <v>43728</v>
      </c>
      <c r="E13" s="51">
        <v>366985.11</v>
      </c>
      <c r="F13" s="51">
        <v>0</v>
      </c>
      <c r="G13" s="51">
        <v>0</v>
      </c>
      <c r="H13" s="51">
        <v>0</v>
      </c>
      <c r="I13" s="51">
        <v>0</v>
      </c>
      <c r="J13" s="51">
        <v>56315.85</v>
      </c>
      <c r="K13" s="51">
        <f t="shared" si="0"/>
        <v>423300.95999999996</v>
      </c>
      <c r="L13" s="51">
        <f>$D$6-SUM(K$10:K13)</f>
        <v>109532353.08</v>
      </c>
      <c r="M13" s="46"/>
      <c r="N13" s="40"/>
    </row>
    <row r="14" spans="1:14" ht="14.5">
      <c r="A14" s="18"/>
      <c r="B14" s="55">
        <v>2524</v>
      </c>
      <c r="C14" s="50">
        <v>43724</v>
      </c>
      <c r="D14" s="50">
        <v>43738</v>
      </c>
      <c r="E14" s="51">
        <v>0</v>
      </c>
      <c r="F14" s="51">
        <v>40223.82</v>
      </c>
      <c r="G14" s="51">
        <v>0</v>
      </c>
      <c r="H14" s="51">
        <v>0</v>
      </c>
      <c r="I14" s="51">
        <v>0</v>
      </c>
      <c r="J14" s="51">
        <v>8799.73</v>
      </c>
      <c r="K14" s="51">
        <f t="shared" si="0"/>
        <v>49023.55</v>
      </c>
      <c r="L14" s="51">
        <f>$D$6-SUM(K$10:K14)</f>
        <v>109483329.53</v>
      </c>
      <c r="M14" s="46"/>
      <c r="N14" s="40"/>
    </row>
    <row r="15" spans="1:14" ht="14.5">
      <c r="A15" s="18"/>
      <c r="B15" s="55">
        <v>2863</v>
      </c>
      <c r="C15" s="50">
        <v>43759</v>
      </c>
      <c r="D15" s="50">
        <v>43769</v>
      </c>
      <c r="E15" s="51">
        <v>0</v>
      </c>
      <c r="F15" s="51">
        <v>359578.5</v>
      </c>
      <c r="G15" s="51">
        <v>0</v>
      </c>
      <c r="H15" s="51">
        <v>0</v>
      </c>
      <c r="I15" s="51">
        <v>72173.89</v>
      </c>
      <c r="J15" s="51">
        <v>50034.05</v>
      </c>
      <c r="K15" s="51">
        <f t="shared" si="0"/>
        <v>481786.44</v>
      </c>
      <c r="L15" s="51">
        <f>$D$6-SUM(K$10:K15)</f>
        <v>109001543.08999999</v>
      </c>
      <c r="M15" s="46"/>
      <c r="N15" s="40"/>
    </row>
    <row r="16" spans="1:14" ht="14.5">
      <c r="A16" s="18"/>
      <c r="B16" s="55">
        <v>2878</v>
      </c>
      <c r="C16" s="50">
        <v>43759</v>
      </c>
      <c r="D16" s="50">
        <v>43769</v>
      </c>
      <c r="E16" s="51">
        <v>2762966.38</v>
      </c>
      <c r="F16" s="51">
        <v>774030.91</v>
      </c>
      <c r="G16" s="51">
        <v>374471.44</v>
      </c>
      <c r="H16" s="51">
        <v>0</v>
      </c>
      <c r="I16" s="51">
        <v>156558.1</v>
      </c>
      <c r="J16" s="51">
        <v>146776.49</v>
      </c>
      <c r="K16" s="51">
        <f t="shared" si="0"/>
        <v>4214803.32</v>
      </c>
      <c r="L16" s="51">
        <f>$D$6-SUM(K$10:K16)</f>
        <v>104786739.77</v>
      </c>
      <c r="M16" s="46"/>
      <c r="N16" s="40"/>
    </row>
    <row r="17" spans="1:14" ht="14.5">
      <c r="A17" s="18"/>
      <c r="B17" s="55">
        <v>3601</v>
      </c>
      <c r="C17" s="50">
        <v>43819</v>
      </c>
      <c r="D17" s="50">
        <v>43829</v>
      </c>
      <c r="E17" s="51">
        <v>0</v>
      </c>
      <c r="F17" s="51">
        <v>127588.99</v>
      </c>
      <c r="G17" s="51">
        <v>0</v>
      </c>
      <c r="H17" s="51">
        <v>566518.06999999995</v>
      </c>
      <c r="I17" s="51">
        <v>74140.289999999994</v>
      </c>
      <c r="J17" s="51">
        <v>15328.92</v>
      </c>
      <c r="K17" s="51">
        <f t="shared" si="0"/>
        <v>783576.27</v>
      </c>
      <c r="L17" s="51">
        <f>$D$6-SUM(K$10:K17)</f>
        <v>104003163.5</v>
      </c>
      <c r="M17" s="46"/>
      <c r="N17" s="40"/>
    </row>
    <row r="18" spans="1:14" ht="14.5">
      <c r="A18" s="18"/>
      <c r="B18" s="55">
        <v>3603</v>
      </c>
      <c r="C18" s="50">
        <v>43819</v>
      </c>
      <c r="D18" s="50">
        <v>43829</v>
      </c>
      <c r="E18" s="51">
        <v>3258671.23</v>
      </c>
      <c r="F18" s="51">
        <v>0</v>
      </c>
      <c r="G18" s="51">
        <v>0</v>
      </c>
      <c r="H18" s="51">
        <v>0</v>
      </c>
      <c r="I18" s="51">
        <v>0</v>
      </c>
      <c r="J18" s="51">
        <v>43805.85</v>
      </c>
      <c r="K18" s="51">
        <f t="shared" si="0"/>
        <v>3302477.08</v>
      </c>
      <c r="L18" s="51">
        <f>$D$6-SUM(K$10:K18)</f>
        <v>100700686.41999999</v>
      </c>
      <c r="M18" s="46"/>
      <c r="N18" s="40"/>
    </row>
    <row r="19" spans="1:14" ht="14.5">
      <c r="A19" s="18"/>
      <c r="B19" s="55">
        <v>288</v>
      </c>
      <c r="C19" s="50">
        <v>43867</v>
      </c>
      <c r="D19" s="50">
        <v>43878</v>
      </c>
      <c r="E19" s="51">
        <v>0</v>
      </c>
      <c r="F19" s="51">
        <v>0</v>
      </c>
      <c r="G19" s="51">
        <v>0</v>
      </c>
      <c r="H19" s="51">
        <v>191609.83</v>
      </c>
      <c r="I19" s="51">
        <v>954822.89</v>
      </c>
      <c r="J19" s="51">
        <v>0</v>
      </c>
      <c r="K19" s="51">
        <f t="shared" si="0"/>
        <v>1146432.72</v>
      </c>
      <c r="L19" s="51">
        <f>$D$6-SUM(K$10:K19)</f>
        <v>99554253.699999988</v>
      </c>
      <c r="M19" s="46"/>
      <c r="N19" s="40"/>
    </row>
    <row r="20" spans="1:14" ht="14.5">
      <c r="A20" s="18"/>
      <c r="B20" s="55">
        <v>289</v>
      </c>
      <c r="C20" s="50">
        <v>43867</v>
      </c>
      <c r="D20" s="50">
        <v>43878</v>
      </c>
      <c r="E20" s="51">
        <v>3597871.29</v>
      </c>
      <c r="F20" s="51">
        <v>0</v>
      </c>
      <c r="G20" s="51">
        <v>0</v>
      </c>
      <c r="H20" s="51">
        <v>0</v>
      </c>
      <c r="I20" s="51">
        <v>0</v>
      </c>
      <c r="J20" s="51">
        <v>42828.01</v>
      </c>
      <c r="K20" s="51">
        <f t="shared" si="0"/>
        <v>3640699.3</v>
      </c>
      <c r="L20" s="51">
        <f>$D$6-SUM(K$10:K20)</f>
        <v>95913554.399999991</v>
      </c>
      <c r="M20" s="46"/>
      <c r="N20" s="40"/>
    </row>
    <row r="21" spans="1:14" ht="14.5">
      <c r="A21" s="18"/>
      <c r="B21" s="55">
        <v>618</v>
      </c>
      <c r="C21" s="50">
        <v>43892</v>
      </c>
      <c r="D21" s="50">
        <v>43921</v>
      </c>
      <c r="E21" s="51">
        <v>0</v>
      </c>
      <c r="F21" s="51">
        <v>1419296.65</v>
      </c>
      <c r="G21" s="51">
        <v>0</v>
      </c>
      <c r="H21" s="51">
        <v>0</v>
      </c>
      <c r="I21" s="51">
        <v>800753.18</v>
      </c>
      <c r="J21" s="51">
        <v>0</v>
      </c>
      <c r="K21" s="51">
        <f t="shared" si="0"/>
        <v>2220049.83</v>
      </c>
      <c r="L21" s="51">
        <f>$D$6-SUM(K$10:K21)</f>
        <v>93693504.569999993</v>
      </c>
      <c r="M21" s="46"/>
      <c r="N21" s="40"/>
    </row>
    <row r="22" spans="1:14" ht="14.5">
      <c r="A22" s="18"/>
      <c r="B22" s="55">
        <v>618</v>
      </c>
      <c r="C22" s="50">
        <v>43892</v>
      </c>
      <c r="D22" s="50">
        <v>43936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201556.32</v>
      </c>
      <c r="K22" s="51">
        <f t="shared" si="0"/>
        <v>201556.32</v>
      </c>
      <c r="L22" s="51">
        <f>$D$6-SUM(K$10:K22)</f>
        <v>93491948.25</v>
      </c>
      <c r="M22" s="46"/>
      <c r="N22" s="40"/>
    </row>
    <row r="23" spans="1:14" ht="14.5">
      <c r="A23" s="18"/>
      <c r="B23" s="55">
        <v>856</v>
      </c>
      <c r="C23" s="50">
        <v>43916</v>
      </c>
      <c r="D23" s="50">
        <v>43921</v>
      </c>
      <c r="E23" s="51">
        <v>0</v>
      </c>
      <c r="F23" s="51">
        <v>776190.53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776190.53</v>
      </c>
      <c r="L23" s="51">
        <f>$D$6-SUM(K$10:K23)</f>
        <v>92715757.719999999</v>
      </c>
      <c r="M23" s="46"/>
      <c r="N23" s="40"/>
    </row>
    <row r="24" spans="1:14" ht="14.5">
      <c r="A24" s="18"/>
      <c r="B24" s="55">
        <v>856</v>
      </c>
      <c r="C24" s="50">
        <v>43916</v>
      </c>
      <c r="D24" s="50">
        <v>43936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122773.16</v>
      </c>
      <c r="K24" s="51">
        <f t="shared" si="0"/>
        <v>122773.16</v>
      </c>
      <c r="L24" s="51">
        <f>$D$6-SUM(K$10:K24)</f>
        <v>92592984.559999987</v>
      </c>
      <c r="M24" s="46"/>
      <c r="N24" s="40"/>
    </row>
    <row r="25" spans="1:14" ht="14.5">
      <c r="A25" s="18"/>
      <c r="B25" s="55">
        <v>857</v>
      </c>
      <c r="C25" s="50">
        <v>43916</v>
      </c>
      <c r="D25" s="50">
        <v>43921</v>
      </c>
      <c r="E25" s="51">
        <v>0</v>
      </c>
      <c r="F25" s="51">
        <v>0</v>
      </c>
      <c r="G25" s="51">
        <v>0</v>
      </c>
      <c r="H25" s="51">
        <v>237432.87</v>
      </c>
      <c r="I25" s="51">
        <v>1148321.55</v>
      </c>
      <c r="J25" s="51">
        <v>0</v>
      </c>
      <c r="K25" s="51">
        <f t="shared" si="0"/>
        <v>1385754.42</v>
      </c>
      <c r="L25" s="51">
        <f>$D$6-SUM(K$10:K25)</f>
        <v>91207230.139999986</v>
      </c>
      <c r="M25" s="46"/>
      <c r="N25" s="40"/>
    </row>
    <row r="26" spans="1:14" ht="14.5">
      <c r="A26" s="18"/>
      <c r="B26" s="55">
        <v>872</v>
      </c>
      <c r="C26" s="50">
        <v>43920</v>
      </c>
      <c r="D26" s="50">
        <v>43929</v>
      </c>
      <c r="E26" s="51">
        <v>5303602.6100000003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5303602.6100000003</v>
      </c>
      <c r="L26" s="51">
        <f>$D$6-SUM(K$10:K26)</f>
        <v>85903627.530000001</v>
      </c>
      <c r="M26" s="46"/>
      <c r="N26" s="40"/>
    </row>
    <row r="27" spans="1:14" ht="14.5">
      <c r="A27" s="18"/>
      <c r="B27" s="55">
        <v>872</v>
      </c>
      <c r="C27" s="50">
        <v>43920</v>
      </c>
      <c r="D27" s="50">
        <v>43936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18844.810000000001</v>
      </c>
      <c r="K27" s="51">
        <f t="shared" si="0"/>
        <v>18844.810000000001</v>
      </c>
      <c r="L27" s="51">
        <f>$D$6-SUM(K$10:K27)</f>
        <v>85884782.719999999</v>
      </c>
      <c r="M27" s="46"/>
      <c r="N27" s="40"/>
    </row>
    <row r="28" spans="1:14" ht="14.5">
      <c r="A28" s="18"/>
      <c r="B28" s="55">
        <v>1070</v>
      </c>
      <c r="C28" s="50">
        <v>43938</v>
      </c>
      <c r="D28" s="50">
        <v>43951</v>
      </c>
      <c r="E28" s="51">
        <v>4098238.4</v>
      </c>
      <c r="F28" s="51">
        <v>0</v>
      </c>
      <c r="G28" s="51">
        <v>0</v>
      </c>
      <c r="H28" s="51">
        <v>0</v>
      </c>
      <c r="I28" s="51">
        <v>0</v>
      </c>
      <c r="J28" s="51">
        <v>14561.88</v>
      </c>
      <c r="K28" s="51">
        <f t="shared" si="0"/>
        <v>4112800.28</v>
      </c>
      <c r="L28" s="51">
        <f>$D$6-SUM(K$10:K28)</f>
        <v>81771982.439999998</v>
      </c>
      <c r="M28" s="46"/>
      <c r="N28" s="40"/>
    </row>
    <row r="29" spans="1:14" ht="14.5">
      <c r="A29" s="18"/>
      <c r="B29" s="55">
        <v>1115</v>
      </c>
      <c r="C29" s="50">
        <v>43944</v>
      </c>
      <c r="D29" s="50">
        <v>43951</v>
      </c>
      <c r="E29" s="51">
        <v>0</v>
      </c>
      <c r="F29" s="51">
        <v>0</v>
      </c>
      <c r="G29" s="51">
        <v>0</v>
      </c>
      <c r="H29" s="51">
        <v>1110459.8400000001</v>
      </c>
      <c r="I29" s="51">
        <v>198495.61</v>
      </c>
      <c r="J29" s="51">
        <v>0</v>
      </c>
      <c r="K29" s="51">
        <f t="shared" si="0"/>
        <v>1308955.4500000002</v>
      </c>
      <c r="L29" s="51">
        <f>$D$6-SUM(K$10:K29)</f>
        <v>80463026.98999998</v>
      </c>
      <c r="M29" s="46"/>
      <c r="N29" s="40"/>
    </row>
    <row r="30" spans="1:14" ht="14.5">
      <c r="A30" s="18"/>
      <c r="B30" s="55">
        <v>1236</v>
      </c>
      <c r="C30" s="50">
        <v>43955</v>
      </c>
      <c r="D30" s="50">
        <v>43959</v>
      </c>
      <c r="E30" s="51">
        <v>0</v>
      </c>
      <c r="F30" s="51">
        <v>680851.72</v>
      </c>
      <c r="G30" s="51">
        <v>0</v>
      </c>
      <c r="H30" s="51">
        <v>0</v>
      </c>
      <c r="I30" s="51">
        <v>0</v>
      </c>
      <c r="J30" s="51">
        <v>99988.33</v>
      </c>
      <c r="K30" s="51">
        <f t="shared" si="0"/>
        <v>780840.04999999993</v>
      </c>
      <c r="L30" s="51">
        <f>$D$6-SUM(K$10:K30)</f>
        <v>79682186.939999998</v>
      </c>
      <c r="M30" s="46"/>
      <c r="N30" s="40"/>
    </row>
    <row r="31" spans="1:14" ht="14.5">
      <c r="A31" s="18"/>
      <c r="B31" s="55">
        <v>1336</v>
      </c>
      <c r="C31" s="50">
        <v>43964</v>
      </c>
      <c r="D31" s="50">
        <v>43971</v>
      </c>
      <c r="E31" s="51">
        <v>1887366.26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1887366.26</v>
      </c>
      <c r="L31" s="51">
        <f>$D$6-SUM(K$10:K31)</f>
        <v>77794820.679999992</v>
      </c>
      <c r="M31" s="46"/>
      <c r="N31" s="40"/>
    </row>
    <row r="32" spans="1:14" ht="14.5">
      <c r="A32" s="18"/>
      <c r="B32" s="55">
        <v>1336</v>
      </c>
      <c r="C32" s="50">
        <v>43964</v>
      </c>
      <c r="D32" s="50">
        <v>43997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39394.17</v>
      </c>
      <c r="K32" s="51">
        <f t="shared" si="0"/>
        <v>39394.17</v>
      </c>
      <c r="L32" s="51">
        <f>$D$6-SUM(K$10:K32)</f>
        <v>77755426.50999999</v>
      </c>
      <c r="M32" s="46"/>
      <c r="N32" s="40"/>
    </row>
    <row r="33" spans="1:14" ht="14.5">
      <c r="A33" s="18"/>
      <c r="B33" s="55">
        <v>1502</v>
      </c>
      <c r="C33" s="50">
        <v>43980</v>
      </c>
      <c r="D33" s="50">
        <v>43987</v>
      </c>
      <c r="E33" s="51">
        <v>0</v>
      </c>
      <c r="F33" s="51">
        <v>3313186.18</v>
      </c>
      <c r="G33" s="51">
        <v>0</v>
      </c>
      <c r="H33" s="51">
        <v>1435485.82</v>
      </c>
      <c r="I33" s="51">
        <v>195976.4</v>
      </c>
      <c r="J33" s="51">
        <v>0</v>
      </c>
      <c r="K33" s="51">
        <f t="shared" si="0"/>
        <v>4944648.4000000004</v>
      </c>
      <c r="L33" s="51">
        <f>$D$6-SUM(K$10:K33)</f>
        <v>72810778.109999985</v>
      </c>
      <c r="M33" s="46"/>
      <c r="N33" s="40"/>
    </row>
    <row r="34" spans="1:14" ht="14.5">
      <c r="A34" s="18"/>
      <c r="B34" s="55">
        <v>1502</v>
      </c>
      <c r="C34" s="50">
        <v>43980</v>
      </c>
      <c r="D34" s="50">
        <v>43997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553377.93999999994</v>
      </c>
      <c r="K34" s="51">
        <f t="shared" si="0"/>
        <v>553377.93999999994</v>
      </c>
      <c r="L34" s="51">
        <f>$D$6-SUM(K$10:K34)</f>
        <v>72257400.169999987</v>
      </c>
      <c r="M34" s="46"/>
      <c r="N34" s="40"/>
    </row>
    <row r="35" spans="1:14" ht="14.5">
      <c r="A35" s="18"/>
      <c r="B35" s="55">
        <v>1639</v>
      </c>
      <c r="C35" s="50">
        <v>43991</v>
      </c>
      <c r="D35" s="50">
        <v>43997</v>
      </c>
      <c r="E35" s="51">
        <v>2407571.9700000002</v>
      </c>
      <c r="F35" s="51">
        <v>0</v>
      </c>
      <c r="G35" s="51">
        <v>0</v>
      </c>
      <c r="H35" s="51">
        <v>0</v>
      </c>
      <c r="I35" s="51">
        <v>0</v>
      </c>
      <c r="J35" s="51">
        <v>257401.47</v>
      </c>
      <c r="K35" s="51">
        <f t="shared" si="0"/>
        <v>2664973.4400000004</v>
      </c>
      <c r="L35" s="51">
        <f>$D$6-SUM(K$10:K35)</f>
        <v>69592426.729999989</v>
      </c>
      <c r="M35" s="46"/>
      <c r="N35" s="40"/>
    </row>
    <row r="36" spans="1:14" ht="14.5">
      <c r="A36" s="18"/>
      <c r="B36" s="55">
        <v>1807</v>
      </c>
      <c r="C36" s="50">
        <v>44006</v>
      </c>
      <c r="D36" s="50">
        <v>44012</v>
      </c>
      <c r="E36" s="51">
        <v>0</v>
      </c>
      <c r="F36" s="51">
        <v>510946.22</v>
      </c>
      <c r="G36" s="51">
        <v>0</v>
      </c>
      <c r="H36" s="51">
        <v>0</v>
      </c>
      <c r="I36" s="51">
        <v>271150.21000000002</v>
      </c>
      <c r="J36" s="51">
        <v>93217.84</v>
      </c>
      <c r="K36" s="51">
        <f t="shared" si="0"/>
        <v>875314.2699999999</v>
      </c>
      <c r="L36" s="51">
        <f>$D$6-SUM(K$10:K36)</f>
        <v>68717112.459999993</v>
      </c>
      <c r="M36" s="46"/>
      <c r="N36" s="40"/>
    </row>
    <row r="37" spans="1:14" ht="14.5">
      <c r="A37" s="18"/>
      <c r="B37" s="55">
        <v>1931</v>
      </c>
      <c r="C37" s="50">
        <v>44015</v>
      </c>
      <c r="D37" s="50">
        <v>44026</v>
      </c>
      <c r="E37" s="51">
        <v>1419422.39</v>
      </c>
      <c r="F37" s="51">
        <v>0</v>
      </c>
      <c r="G37" s="51">
        <v>0</v>
      </c>
      <c r="H37" s="51">
        <v>0</v>
      </c>
      <c r="I37" s="51">
        <v>0</v>
      </c>
      <c r="J37" s="51">
        <v>180125.63</v>
      </c>
      <c r="K37" s="51">
        <f t="shared" si="0"/>
        <v>1599548.02</v>
      </c>
      <c r="L37" s="51">
        <f>$D$6-SUM(K$10:K37)</f>
        <v>67117564.439999998</v>
      </c>
      <c r="M37" s="46"/>
      <c r="N37" s="40"/>
    </row>
    <row r="38" spans="1:14" ht="14.5">
      <c r="A38" s="18"/>
      <c r="B38" s="55">
        <v>2132</v>
      </c>
      <c r="C38" s="50">
        <v>44034</v>
      </c>
      <c r="D38" s="50">
        <v>44043</v>
      </c>
      <c r="E38" s="51">
        <v>0</v>
      </c>
      <c r="F38" s="51">
        <v>195905.97</v>
      </c>
      <c r="G38" s="51">
        <v>0</v>
      </c>
      <c r="H38" s="51">
        <v>0</v>
      </c>
      <c r="I38" s="51">
        <v>1153021.6599999999</v>
      </c>
      <c r="J38" s="51">
        <v>0</v>
      </c>
      <c r="K38" s="51">
        <f t="shared" si="0"/>
        <v>1348927.63</v>
      </c>
      <c r="L38" s="51">
        <f>$D$6-SUM(K$10:K38)</f>
        <v>65768636.809999987</v>
      </c>
      <c r="M38" s="46"/>
      <c r="N38" s="40"/>
    </row>
    <row r="39" spans="1:14" ht="14.5">
      <c r="A39" s="18"/>
      <c r="B39" s="55">
        <v>2132</v>
      </c>
      <c r="C39" s="50">
        <v>44034</v>
      </c>
      <c r="D39" s="50">
        <v>44089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60681.35</v>
      </c>
      <c r="K39" s="51">
        <f t="shared" si="0"/>
        <v>60681.35</v>
      </c>
      <c r="L39" s="51">
        <f>$D$6-SUM(K$10:K39)</f>
        <v>65707955.459999986</v>
      </c>
      <c r="M39" s="46"/>
      <c r="N39" s="40"/>
    </row>
    <row r="40" spans="1:14" ht="14.5">
      <c r="A40" s="18"/>
      <c r="B40" s="55">
        <v>2252</v>
      </c>
      <c r="C40" s="50">
        <v>44048</v>
      </c>
      <c r="D40" s="50">
        <v>44060</v>
      </c>
      <c r="E40" s="51">
        <v>2886371.58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f t="shared" si="0"/>
        <v>2886371.58</v>
      </c>
      <c r="L40" s="51">
        <f>$D$6-SUM(K$10:K40)</f>
        <v>62821583.879999988</v>
      </c>
      <c r="M40" s="46"/>
      <c r="N40" s="40"/>
    </row>
    <row r="41" spans="1:14" ht="14.5">
      <c r="A41" s="18"/>
      <c r="B41" s="55">
        <v>2252</v>
      </c>
      <c r="C41" s="50">
        <v>44048</v>
      </c>
      <c r="D41" s="50">
        <v>44089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386957.98</v>
      </c>
      <c r="K41" s="51">
        <f t="shared" si="0"/>
        <v>386957.98</v>
      </c>
      <c r="L41" s="51">
        <f>$D$6-SUM(K$10:K41)</f>
        <v>62434625.899999991</v>
      </c>
      <c r="M41" s="46"/>
      <c r="N41" s="40"/>
    </row>
    <row r="42" spans="1:14" ht="14.5">
      <c r="A42" s="18"/>
      <c r="B42" s="55">
        <v>2585</v>
      </c>
      <c r="C42" s="50">
        <v>44082</v>
      </c>
      <c r="D42" s="50">
        <v>44089</v>
      </c>
      <c r="E42" s="51">
        <v>3578876.1</v>
      </c>
      <c r="F42" s="51">
        <v>0</v>
      </c>
      <c r="G42" s="51">
        <v>0</v>
      </c>
      <c r="H42" s="51">
        <v>0</v>
      </c>
      <c r="I42" s="51">
        <v>0</v>
      </c>
      <c r="J42" s="51">
        <v>325181.13</v>
      </c>
      <c r="K42" s="51">
        <f t="shared" ref="K42:K65" si="1">SUM(E42:J42)</f>
        <v>3904057.23</v>
      </c>
      <c r="L42" s="51">
        <f>$D$6-SUM(K$10:K42)</f>
        <v>58530568.669999994</v>
      </c>
      <c r="M42" s="46"/>
      <c r="N42" s="40"/>
    </row>
    <row r="43" spans="1:14" ht="14.5">
      <c r="A43" s="18"/>
      <c r="B43" s="55">
        <v>2586</v>
      </c>
      <c r="C43" s="50">
        <v>44082</v>
      </c>
      <c r="D43" s="50">
        <v>44089</v>
      </c>
      <c r="E43" s="51">
        <v>0</v>
      </c>
      <c r="F43" s="51">
        <v>1215082.99</v>
      </c>
      <c r="G43" s="51">
        <v>0</v>
      </c>
      <c r="H43" s="51">
        <v>884971.61</v>
      </c>
      <c r="I43" s="51">
        <v>568769.56999999995</v>
      </c>
      <c r="J43" s="51">
        <v>199722.26</v>
      </c>
      <c r="K43" s="51">
        <f t="shared" si="1"/>
        <v>2868546.4299999997</v>
      </c>
      <c r="L43" s="51">
        <f>$D$6-SUM(K$10:K43)</f>
        <v>55662022.239999995</v>
      </c>
      <c r="M43" s="46"/>
      <c r="N43" s="40"/>
    </row>
    <row r="44" spans="1:14" ht="14.5">
      <c r="A44" s="18"/>
      <c r="B44" s="55">
        <v>2846</v>
      </c>
      <c r="C44" s="50">
        <v>44110</v>
      </c>
      <c r="D44" s="50">
        <v>44119</v>
      </c>
      <c r="E44" s="51">
        <v>3123407.34</v>
      </c>
      <c r="F44" s="51">
        <v>0</v>
      </c>
      <c r="G44" s="51">
        <v>0</v>
      </c>
      <c r="H44" s="51">
        <v>0</v>
      </c>
      <c r="I44" s="51">
        <v>0</v>
      </c>
      <c r="J44" s="51">
        <v>406984.44</v>
      </c>
      <c r="K44" s="51">
        <f t="shared" si="1"/>
        <v>3530391.78</v>
      </c>
      <c r="L44" s="51">
        <f>$D$6-SUM(K$10:K44)</f>
        <v>52131630.459999993</v>
      </c>
      <c r="M44" s="46"/>
      <c r="N44" s="40"/>
    </row>
    <row r="45" spans="1:14" ht="14.5">
      <c r="A45" s="18"/>
      <c r="B45" s="55">
        <v>3199</v>
      </c>
      <c r="C45" s="50">
        <v>44148</v>
      </c>
      <c r="D45" s="50">
        <v>44151</v>
      </c>
      <c r="E45" s="51">
        <v>0</v>
      </c>
      <c r="F45" s="51">
        <v>473148.02</v>
      </c>
      <c r="G45" s="51">
        <v>0</v>
      </c>
      <c r="H45" s="51">
        <v>0</v>
      </c>
      <c r="I45" s="51">
        <v>0</v>
      </c>
      <c r="J45" s="51">
        <v>75902.350000000006</v>
      </c>
      <c r="K45" s="51">
        <f t="shared" si="1"/>
        <v>549050.37</v>
      </c>
      <c r="L45" s="51">
        <f>$D$6-SUM(K$10:K45)</f>
        <v>51582580.089999989</v>
      </c>
      <c r="M45" s="46"/>
      <c r="N45" s="40"/>
    </row>
    <row r="46" spans="1:14" ht="14.5">
      <c r="A46" s="18"/>
      <c r="B46" s="55">
        <v>3199</v>
      </c>
      <c r="C46" s="50">
        <v>44148</v>
      </c>
      <c r="D46" s="50">
        <v>44165</v>
      </c>
      <c r="E46" s="51">
        <v>0</v>
      </c>
      <c r="F46" s="51">
        <v>0</v>
      </c>
      <c r="G46" s="51">
        <v>0</v>
      </c>
      <c r="H46" s="51">
        <v>0</v>
      </c>
      <c r="I46" s="51">
        <v>484978.59</v>
      </c>
      <c r="J46" s="51">
        <v>0</v>
      </c>
      <c r="K46" s="51">
        <f t="shared" si="1"/>
        <v>484978.59</v>
      </c>
      <c r="L46" s="51">
        <f>$D$6-SUM(K$10:K46)</f>
        <v>51097601.499999985</v>
      </c>
      <c r="M46" s="46"/>
      <c r="N46" s="40"/>
    </row>
    <row r="47" spans="1:14" ht="14.5">
      <c r="A47" s="18"/>
      <c r="B47" s="55">
        <v>3200</v>
      </c>
      <c r="C47" s="50">
        <v>44148</v>
      </c>
      <c r="D47" s="50">
        <v>44151</v>
      </c>
      <c r="E47" s="51">
        <v>3726021.92</v>
      </c>
      <c r="F47" s="51">
        <v>0</v>
      </c>
      <c r="G47" s="51">
        <v>0</v>
      </c>
      <c r="H47" s="51">
        <v>0</v>
      </c>
      <c r="I47" s="51">
        <v>0</v>
      </c>
      <c r="J47" s="51">
        <v>337548.92</v>
      </c>
      <c r="K47" s="51">
        <f t="shared" si="1"/>
        <v>4063570.84</v>
      </c>
      <c r="L47" s="51">
        <f>$D$6-SUM(K$10:K47)</f>
        <v>47034030.659999982</v>
      </c>
      <c r="M47" s="46"/>
      <c r="N47" s="40"/>
    </row>
    <row r="48" spans="1:14" ht="14.5">
      <c r="A48" s="18"/>
      <c r="B48" s="55">
        <v>3277</v>
      </c>
      <c r="C48" s="50">
        <v>44158</v>
      </c>
      <c r="D48" s="50">
        <v>44165</v>
      </c>
      <c r="E48" s="51">
        <v>0</v>
      </c>
      <c r="F48" s="51">
        <v>180947.09</v>
      </c>
      <c r="G48" s="51">
        <v>0</v>
      </c>
      <c r="H48" s="51">
        <v>0</v>
      </c>
      <c r="I48" s="51">
        <v>870693.83</v>
      </c>
      <c r="J48" s="51">
        <v>29605.37</v>
      </c>
      <c r="K48" s="51">
        <f t="shared" si="1"/>
        <v>1081246.29</v>
      </c>
      <c r="L48" s="51">
        <f>$D$6-SUM(K$10:K48)</f>
        <v>45952784.369999975</v>
      </c>
      <c r="M48" s="46"/>
      <c r="N48" s="40"/>
    </row>
    <row r="49" spans="1:14" ht="14.5">
      <c r="A49" s="18"/>
      <c r="B49" s="55">
        <v>3524</v>
      </c>
      <c r="C49" s="50">
        <v>44180</v>
      </c>
      <c r="D49" s="50">
        <v>44195</v>
      </c>
      <c r="E49" s="51">
        <v>3443699.16</v>
      </c>
      <c r="F49" s="51">
        <v>0</v>
      </c>
      <c r="G49" s="51">
        <v>0</v>
      </c>
      <c r="H49" s="51">
        <v>0</v>
      </c>
      <c r="I49" s="51">
        <v>0</v>
      </c>
      <c r="J49" s="51">
        <v>506199.26</v>
      </c>
      <c r="K49" s="51">
        <f t="shared" si="1"/>
        <v>3949898.42</v>
      </c>
      <c r="L49" s="51">
        <f>$D$6-SUM(K$10:K49)</f>
        <v>42002885.949999973</v>
      </c>
      <c r="M49" s="46"/>
      <c r="N49" s="40"/>
    </row>
    <row r="50" spans="1:14" ht="14.5">
      <c r="A50" s="18"/>
      <c r="B50" s="55">
        <v>388</v>
      </c>
      <c r="C50" s="50">
        <v>44239</v>
      </c>
      <c r="D50" s="50">
        <v>44253</v>
      </c>
      <c r="E50" s="51">
        <v>6496880.6500000004</v>
      </c>
      <c r="F50" s="51">
        <v>0</v>
      </c>
      <c r="G50" s="51">
        <v>0</v>
      </c>
      <c r="H50" s="51">
        <v>0</v>
      </c>
      <c r="I50" s="51">
        <v>0</v>
      </c>
      <c r="J50" s="51">
        <v>346914.35</v>
      </c>
      <c r="K50" s="51">
        <f t="shared" si="1"/>
        <v>6843795</v>
      </c>
      <c r="L50" s="51">
        <f>$D$6-SUM(K$10:K50)</f>
        <v>35159090.949999973</v>
      </c>
      <c r="M50" s="46"/>
      <c r="N50" s="40"/>
    </row>
    <row r="51" spans="1:14" ht="14.5">
      <c r="A51" s="18"/>
      <c r="B51" s="55">
        <v>389</v>
      </c>
      <c r="C51" s="50">
        <v>44239</v>
      </c>
      <c r="D51" s="50">
        <v>44253</v>
      </c>
      <c r="E51" s="51">
        <v>0</v>
      </c>
      <c r="F51" s="51">
        <v>72690.600000000006</v>
      </c>
      <c r="G51" s="51">
        <v>0</v>
      </c>
      <c r="H51" s="51">
        <v>0</v>
      </c>
      <c r="I51" s="51">
        <v>1984325.35</v>
      </c>
      <c r="J51" s="51">
        <v>56391.199999999997</v>
      </c>
      <c r="K51" s="51">
        <f t="shared" si="1"/>
        <v>2113407.1500000004</v>
      </c>
      <c r="L51" s="51">
        <f>$D$6-SUM(K$10:K51)</f>
        <v>33045683.799999967</v>
      </c>
      <c r="M51" s="46"/>
      <c r="N51" s="40"/>
    </row>
    <row r="52" spans="1:14" ht="14.5">
      <c r="A52" s="18"/>
      <c r="B52" s="55">
        <v>389</v>
      </c>
      <c r="C52" s="50">
        <v>44239</v>
      </c>
      <c r="D52" s="50">
        <v>44267</v>
      </c>
      <c r="E52" s="51">
        <v>0</v>
      </c>
      <c r="F52" s="51">
        <v>0</v>
      </c>
      <c r="G52" s="51">
        <v>0</v>
      </c>
      <c r="H52" s="51">
        <v>190845.65</v>
      </c>
      <c r="I52" s="51">
        <v>0</v>
      </c>
      <c r="J52" s="51">
        <v>0</v>
      </c>
      <c r="K52" s="51">
        <f t="shared" si="1"/>
        <v>190845.65</v>
      </c>
      <c r="L52" s="51">
        <f>$D$6-SUM(K$10:K52)</f>
        <v>32854838.149999961</v>
      </c>
      <c r="M52" s="46"/>
      <c r="N52" s="40"/>
    </row>
    <row r="53" spans="1:14" ht="14.5">
      <c r="A53" s="18"/>
      <c r="B53" s="55">
        <v>487</v>
      </c>
      <c r="C53" s="50">
        <v>44251</v>
      </c>
      <c r="D53" s="50">
        <v>44253</v>
      </c>
      <c r="E53" s="51">
        <v>2947481.76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f t="shared" si="1"/>
        <v>2947481.76</v>
      </c>
      <c r="L53" s="51">
        <f>$D$6-SUM(K$10:K53)</f>
        <v>29907356.389999956</v>
      </c>
      <c r="M53" s="46"/>
      <c r="N53" s="40"/>
    </row>
    <row r="54" spans="1:14" ht="14.5">
      <c r="A54" s="18"/>
      <c r="B54" s="55">
        <v>610</v>
      </c>
      <c r="C54" s="50">
        <v>44260</v>
      </c>
      <c r="D54" s="50">
        <v>44267</v>
      </c>
      <c r="E54" s="51">
        <v>2294131.5099999998</v>
      </c>
      <c r="F54" s="51">
        <v>0</v>
      </c>
      <c r="G54" s="51">
        <v>0</v>
      </c>
      <c r="H54" s="51">
        <v>0</v>
      </c>
      <c r="I54" s="51">
        <v>0</v>
      </c>
      <c r="J54" s="51">
        <v>147903.91</v>
      </c>
      <c r="K54" s="51">
        <f t="shared" si="1"/>
        <v>2442035.42</v>
      </c>
      <c r="L54" s="51">
        <f>$D$6-SUM(K$10:K54)</f>
        <v>27465320.969999954</v>
      </c>
      <c r="M54" s="46"/>
      <c r="N54" s="40"/>
    </row>
    <row r="55" spans="1:14" ht="14.5">
      <c r="A55" s="18"/>
      <c r="B55" s="55">
        <v>611</v>
      </c>
      <c r="C55" s="50">
        <v>44260</v>
      </c>
      <c r="D55" s="50">
        <v>44267</v>
      </c>
      <c r="E55" s="51">
        <v>0</v>
      </c>
      <c r="F55" s="51">
        <v>568461.5</v>
      </c>
      <c r="G55" s="51">
        <v>0</v>
      </c>
      <c r="H55" s="51">
        <v>256778.04</v>
      </c>
      <c r="I55" s="51">
        <v>421808.66</v>
      </c>
      <c r="J55" s="51">
        <v>97574.24</v>
      </c>
      <c r="K55" s="51">
        <f t="shared" si="1"/>
        <v>1344622.44</v>
      </c>
      <c r="L55" s="51">
        <f>$D$6-SUM(K$10:K55)</f>
        <v>26120698.529999956</v>
      </c>
      <c r="M55" s="46"/>
      <c r="N55" s="40"/>
    </row>
    <row r="56" spans="1:14" ht="14.5">
      <c r="A56" s="18"/>
      <c r="B56" s="55">
        <v>782</v>
      </c>
      <c r="C56" s="50">
        <v>44279</v>
      </c>
      <c r="D56" s="50">
        <v>44286</v>
      </c>
      <c r="E56" s="51">
        <v>3204332.01</v>
      </c>
      <c r="F56" s="51">
        <v>0</v>
      </c>
      <c r="G56" s="51">
        <v>0</v>
      </c>
      <c r="H56" s="51">
        <v>0</v>
      </c>
      <c r="I56" s="51">
        <v>0</v>
      </c>
      <c r="J56" s="51">
        <v>325504.45</v>
      </c>
      <c r="K56" s="51">
        <f t="shared" si="1"/>
        <v>3529836.46</v>
      </c>
      <c r="L56" s="51">
        <f>$D$6-SUM(K$10:K56)</f>
        <v>22590862.069999963</v>
      </c>
      <c r="M56" s="46"/>
      <c r="N56" s="40"/>
    </row>
    <row r="57" spans="1:14" ht="14.5">
      <c r="A57" s="18"/>
      <c r="B57" s="55">
        <v>828</v>
      </c>
      <c r="C57" s="50">
        <v>44281</v>
      </c>
      <c r="D57" s="50">
        <v>44286</v>
      </c>
      <c r="E57" s="51"/>
      <c r="F57" s="51">
        <v>51832.73</v>
      </c>
      <c r="G57" s="51">
        <v>0</v>
      </c>
      <c r="H57" s="51">
        <v>0</v>
      </c>
      <c r="I57" s="51">
        <v>706367.24</v>
      </c>
      <c r="J57" s="51">
        <v>8896.8799999999992</v>
      </c>
      <c r="K57" s="51">
        <f t="shared" si="1"/>
        <v>767096.85</v>
      </c>
      <c r="L57" s="51">
        <f>$D$6-SUM(K$10:K57)</f>
        <v>21823765.219999969</v>
      </c>
      <c r="M57" s="46"/>
      <c r="N57" s="40"/>
    </row>
    <row r="58" spans="1:14" ht="14.5">
      <c r="A58" s="18"/>
      <c r="B58" s="55">
        <v>1319</v>
      </c>
      <c r="C58" s="50">
        <v>44328</v>
      </c>
      <c r="D58" s="50">
        <v>44333</v>
      </c>
      <c r="E58" s="51">
        <v>2504306.25</v>
      </c>
      <c r="F58" s="51">
        <v>0</v>
      </c>
      <c r="G58" s="51">
        <v>0</v>
      </c>
      <c r="H58" s="51">
        <v>0</v>
      </c>
      <c r="I58" s="51">
        <v>0</v>
      </c>
      <c r="J58" s="51">
        <v>174363.13999999998</v>
      </c>
      <c r="K58" s="51">
        <f t="shared" si="1"/>
        <v>2678669.39</v>
      </c>
      <c r="L58" s="51">
        <f>$D$6-SUM(K$10:K58)</f>
        <v>19145095.829999968</v>
      </c>
      <c r="M58" s="46"/>
      <c r="N58" s="40"/>
    </row>
    <row r="59" spans="1:14" ht="14.5">
      <c r="A59" s="18"/>
      <c r="B59" s="55">
        <v>1536</v>
      </c>
      <c r="C59" s="50">
        <v>44347</v>
      </c>
      <c r="D59" s="50">
        <v>44362</v>
      </c>
      <c r="E59" s="51">
        <v>1101094.8799999999</v>
      </c>
      <c r="F59" s="51">
        <v>0</v>
      </c>
      <c r="G59" s="51">
        <v>0</v>
      </c>
      <c r="H59" s="51">
        <v>0</v>
      </c>
      <c r="I59" s="51">
        <v>0</v>
      </c>
      <c r="J59" s="51">
        <v>156231.89000000001</v>
      </c>
      <c r="K59" s="51">
        <f t="shared" si="1"/>
        <v>1257326.77</v>
      </c>
      <c r="L59" s="51">
        <f>$D$6-SUM(K$10:K59)</f>
        <v>17887769.059999973</v>
      </c>
      <c r="M59" s="46"/>
      <c r="N59" s="40"/>
    </row>
    <row r="60" spans="1:14" ht="14.5">
      <c r="A60" s="18"/>
      <c r="B60" s="55">
        <v>2038</v>
      </c>
      <c r="C60" s="50">
        <v>44383</v>
      </c>
      <c r="D60" s="50">
        <v>44391</v>
      </c>
      <c r="E60" s="51">
        <v>914839.42</v>
      </c>
      <c r="F60" s="51">
        <v>0</v>
      </c>
      <c r="G60" s="51">
        <v>0</v>
      </c>
      <c r="H60" s="51">
        <v>0</v>
      </c>
      <c r="I60" s="51">
        <v>0</v>
      </c>
      <c r="J60" s="51">
        <v>140596.1</v>
      </c>
      <c r="K60" s="51">
        <f t="shared" si="1"/>
        <v>1055435.52</v>
      </c>
      <c r="L60" s="51">
        <f>$D$6-SUM(K$10:K60)</f>
        <v>16832333.539999977</v>
      </c>
      <c r="M60" s="46"/>
      <c r="N60" s="40"/>
    </row>
    <row r="61" spans="1:14" ht="14.5">
      <c r="A61" s="18"/>
      <c r="B61" s="55">
        <v>2327</v>
      </c>
      <c r="C61" s="50">
        <v>44412</v>
      </c>
      <c r="D61" s="50">
        <v>44421</v>
      </c>
      <c r="E61" s="51">
        <v>835948.96</v>
      </c>
      <c r="F61" s="51">
        <v>0</v>
      </c>
      <c r="G61" s="51">
        <v>0</v>
      </c>
      <c r="H61" s="51">
        <v>0</v>
      </c>
      <c r="I61" s="51">
        <v>0</v>
      </c>
      <c r="J61" s="51">
        <v>63279.76</v>
      </c>
      <c r="K61" s="51">
        <f t="shared" si="1"/>
        <v>899228.72</v>
      </c>
      <c r="L61" s="51">
        <f>$D$6-SUM(K$10:K61)</f>
        <v>15933104.819999978</v>
      </c>
      <c r="M61" s="46"/>
      <c r="N61" s="40"/>
    </row>
    <row r="62" spans="1:14" ht="14.5">
      <c r="A62" s="18"/>
      <c r="B62" s="55">
        <v>2481</v>
      </c>
      <c r="C62" s="50">
        <v>44425</v>
      </c>
      <c r="D62" s="50">
        <v>44439</v>
      </c>
      <c r="E62" s="51"/>
      <c r="F62" s="51">
        <v>0</v>
      </c>
      <c r="G62" s="51">
        <v>0</v>
      </c>
      <c r="H62" s="51">
        <v>0</v>
      </c>
      <c r="I62" s="51">
        <v>630593.03</v>
      </c>
      <c r="J62" s="51">
        <v>0</v>
      </c>
      <c r="K62" s="51">
        <f t="shared" si="1"/>
        <v>630593.03</v>
      </c>
      <c r="L62" s="51">
        <f>$D$6-SUM(K$10:K62)</f>
        <v>15302511.789999977</v>
      </c>
      <c r="M62" s="46"/>
      <c r="N62" s="40"/>
    </row>
    <row r="63" spans="1:14" ht="14.5">
      <c r="A63" s="18"/>
      <c r="B63" s="55">
        <v>2614</v>
      </c>
      <c r="C63" s="50">
        <v>44438</v>
      </c>
      <c r="D63" s="50">
        <v>44454</v>
      </c>
      <c r="E63" s="51">
        <v>2702398.17</v>
      </c>
      <c r="F63" s="51">
        <v>0</v>
      </c>
      <c r="G63" s="51">
        <v>0</v>
      </c>
      <c r="H63" s="51">
        <v>0</v>
      </c>
      <c r="I63" s="51">
        <v>0</v>
      </c>
      <c r="J63" s="51">
        <v>21966.29</v>
      </c>
      <c r="K63" s="51">
        <f t="shared" si="1"/>
        <v>2724364.46</v>
      </c>
      <c r="L63" s="51">
        <f>$D$6-SUM(K$10:K63)</f>
        <v>12578147.329999983</v>
      </c>
      <c r="M63" s="46"/>
      <c r="N63" s="40"/>
    </row>
    <row r="64" spans="1:14" ht="14.5">
      <c r="A64" s="18"/>
      <c r="B64" s="55">
        <v>3064</v>
      </c>
      <c r="C64" s="50">
        <v>44473</v>
      </c>
      <c r="D64" s="50">
        <v>44484</v>
      </c>
      <c r="E64" s="51">
        <v>811258.05</v>
      </c>
      <c r="F64" s="51">
        <v>0</v>
      </c>
      <c r="G64" s="51">
        <v>0</v>
      </c>
      <c r="H64" s="51">
        <v>0</v>
      </c>
      <c r="I64" s="51">
        <v>0</v>
      </c>
      <c r="J64" s="51">
        <v>139053.22</v>
      </c>
      <c r="K64" s="51">
        <f t="shared" si="1"/>
        <v>950311.27</v>
      </c>
      <c r="L64" s="51">
        <f>$D$6-SUM(K$10:K64)</f>
        <v>11627836.059999987</v>
      </c>
      <c r="M64" s="46"/>
      <c r="N64" s="40"/>
    </row>
    <row r="65" spans="1:14" ht="14.5">
      <c r="A65" s="18"/>
      <c r="B65" s="55">
        <v>3279</v>
      </c>
      <c r="C65" s="50">
        <v>44487</v>
      </c>
      <c r="D65" s="50">
        <v>44498</v>
      </c>
      <c r="E65" s="51">
        <v>0</v>
      </c>
      <c r="F65" s="51">
        <v>29562.82</v>
      </c>
      <c r="G65" s="51">
        <v>0</v>
      </c>
      <c r="H65" s="51">
        <v>0</v>
      </c>
      <c r="I65" s="51">
        <v>0</v>
      </c>
      <c r="J65" s="51">
        <v>0</v>
      </c>
      <c r="K65" s="51">
        <f t="shared" si="1"/>
        <v>29562.82</v>
      </c>
      <c r="L65" s="51">
        <f>$D$6-SUM(K$10:K65)</f>
        <v>11598273.239999995</v>
      </c>
      <c r="M65" s="46"/>
      <c r="N65" s="40"/>
    </row>
    <row r="66" spans="1:14" ht="14.5">
      <c r="A66" s="18"/>
      <c r="B66" s="55">
        <v>3279</v>
      </c>
      <c r="C66" s="50">
        <v>44487</v>
      </c>
      <c r="D66" s="50">
        <v>44516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5074.34</v>
      </c>
      <c r="K66" s="51">
        <f t="shared" ref="K66" si="2">SUM(E66:J66)</f>
        <v>5074.34</v>
      </c>
      <c r="L66" s="51">
        <f>$D$6-SUM(K$10:K66)</f>
        <v>11593198.899999991</v>
      </c>
      <c r="M66" s="46"/>
      <c r="N66" s="40"/>
    </row>
    <row r="67" spans="1:14" ht="14.5">
      <c r="A67" s="18"/>
      <c r="B67" s="55">
        <v>3446</v>
      </c>
      <c r="C67" s="50">
        <v>44497</v>
      </c>
      <c r="D67" s="50">
        <v>44516</v>
      </c>
      <c r="E67" s="51">
        <v>589279.23</v>
      </c>
      <c r="F67" s="51">
        <v>0</v>
      </c>
      <c r="G67" s="51">
        <v>0</v>
      </c>
      <c r="H67" s="51">
        <v>0</v>
      </c>
      <c r="I67" s="51">
        <v>0</v>
      </c>
      <c r="J67" s="51">
        <v>93714.32</v>
      </c>
      <c r="K67" s="51">
        <f t="shared" ref="K67:K68" si="3">SUM(E67:J67)</f>
        <v>682993.55</v>
      </c>
      <c r="L67" s="51">
        <f>$D$6-SUM(K$10:K67)</f>
        <v>10910205.349999994</v>
      </c>
      <c r="M67" s="46"/>
      <c r="N67" s="40"/>
    </row>
    <row r="68" spans="1:14" ht="14.5">
      <c r="A68" s="18"/>
      <c r="B68" s="55">
        <v>3819</v>
      </c>
      <c r="C68" s="50">
        <v>44530</v>
      </c>
      <c r="D68" s="50">
        <v>44544</v>
      </c>
      <c r="E68" s="51">
        <v>376198.53</v>
      </c>
      <c r="F68" s="51">
        <v>0</v>
      </c>
      <c r="G68" s="51">
        <v>0</v>
      </c>
      <c r="H68" s="51">
        <v>0</v>
      </c>
      <c r="I68" s="51">
        <v>0</v>
      </c>
      <c r="J68" s="51">
        <v>59149.09</v>
      </c>
      <c r="K68" s="51">
        <f t="shared" si="3"/>
        <v>435347.62</v>
      </c>
      <c r="L68" s="51">
        <f>$D$6-SUM(K$10:K68)</f>
        <v>10474857.729999989</v>
      </c>
      <c r="M68" s="46"/>
      <c r="N68" s="40"/>
    </row>
    <row r="69" spans="1:14" ht="14.5">
      <c r="A69" s="18"/>
      <c r="B69" s="55">
        <v>4123</v>
      </c>
      <c r="C69" s="50">
        <v>44557</v>
      </c>
      <c r="D69" s="50">
        <v>44560</v>
      </c>
      <c r="E69" s="51">
        <f>1124451.81</f>
        <v>1124451.81</v>
      </c>
      <c r="F69" s="51">
        <v>0</v>
      </c>
      <c r="G69" s="51">
        <v>0</v>
      </c>
      <c r="H69" s="51">
        <v>0</v>
      </c>
      <c r="I69" s="51">
        <v>0</v>
      </c>
      <c r="J69" s="51">
        <v>149114.23999999999</v>
      </c>
      <c r="K69" s="51">
        <f t="shared" ref="K69:K72" si="4">SUM(E69:J69)</f>
        <v>1273566.05</v>
      </c>
      <c r="L69" s="51">
        <f>$D$6-SUM(K$10:K69)</f>
        <v>9201291.6799999923</v>
      </c>
      <c r="M69" s="46"/>
      <c r="N69" s="40"/>
    </row>
    <row r="70" spans="1:14" ht="14.5">
      <c r="A70" s="18"/>
      <c r="B70" s="55">
        <v>556</v>
      </c>
      <c r="C70" s="50">
        <v>44615</v>
      </c>
      <c r="D70" s="50">
        <v>44635</v>
      </c>
      <c r="E70" s="51">
        <v>0</v>
      </c>
      <c r="F70" s="51">
        <v>33930</v>
      </c>
      <c r="G70" s="51">
        <v>0</v>
      </c>
      <c r="H70" s="51">
        <v>0</v>
      </c>
      <c r="I70" s="51">
        <v>0</v>
      </c>
      <c r="J70" s="51">
        <v>5823.96</v>
      </c>
      <c r="K70" s="51">
        <f t="shared" si="4"/>
        <v>39753.96</v>
      </c>
      <c r="L70" s="51">
        <f>$D$6-SUM(K$10:K70)</f>
        <v>9161537.7199999988</v>
      </c>
      <c r="M70" s="46"/>
      <c r="N70" s="40"/>
    </row>
    <row r="71" spans="1:14" ht="14.5">
      <c r="A71" s="18"/>
      <c r="B71" s="55">
        <v>4123</v>
      </c>
      <c r="C71" s="50">
        <v>44557</v>
      </c>
      <c r="D71" s="50">
        <v>44635</v>
      </c>
      <c r="E71" s="51">
        <v>-149114.23999999999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f t="shared" ref="K71" si="5">SUM(E71:J71)</f>
        <v>-149114.23999999999</v>
      </c>
      <c r="L71" s="51">
        <f>$D$6-SUM(K$10:K71)</f>
        <v>9310651.9599999934</v>
      </c>
      <c r="M71" s="46"/>
      <c r="N71" s="40"/>
    </row>
    <row r="72" spans="1:14" ht="14.5">
      <c r="A72" s="18"/>
      <c r="B72" s="55">
        <v>557</v>
      </c>
      <c r="C72" s="50">
        <v>44615</v>
      </c>
      <c r="D72" s="50">
        <v>44635</v>
      </c>
      <c r="E72" s="51">
        <v>1116627.3899999999</v>
      </c>
      <c r="F72" s="51">
        <v>0</v>
      </c>
      <c r="G72" s="51">
        <v>0</v>
      </c>
      <c r="H72" s="51">
        <v>0</v>
      </c>
      <c r="I72" s="51">
        <v>0</v>
      </c>
      <c r="J72" s="51">
        <v>171638.97</v>
      </c>
      <c r="K72" s="51">
        <f t="shared" si="4"/>
        <v>1288266.3599999999</v>
      </c>
      <c r="L72" s="51">
        <f>$D$6-SUM(K$10:K72)</f>
        <v>8022385.599999994</v>
      </c>
      <c r="M72" s="46"/>
      <c r="N72" s="40"/>
    </row>
    <row r="73" spans="1:14" ht="14.5">
      <c r="A73" s="18"/>
      <c r="B73" s="55">
        <v>664</v>
      </c>
      <c r="C73" s="50">
        <v>44636</v>
      </c>
      <c r="D73" s="50">
        <v>44651</v>
      </c>
      <c r="E73" s="51">
        <v>820776.51</v>
      </c>
      <c r="F73" s="51">
        <v>0</v>
      </c>
      <c r="G73" s="51">
        <v>0</v>
      </c>
      <c r="H73" s="51">
        <v>0</v>
      </c>
      <c r="I73" s="51">
        <v>0</v>
      </c>
      <c r="J73" s="51">
        <v>124291.74</v>
      </c>
      <c r="K73" s="51">
        <f t="shared" ref="K73" si="6">SUM(E73:J73)</f>
        <v>945068.25</v>
      </c>
      <c r="L73" s="51">
        <f>$D$6-SUM(K$10:K73)</f>
        <v>7077317.349999994</v>
      </c>
      <c r="M73" s="46"/>
      <c r="N73" s="40"/>
    </row>
    <row r="74" spans="1:14" ht="14.5">
      <c r="A74" s="18"/>
      <c r="B74" s="55">
        <v>889</v>
      </c>
      <c r="C74" s="50">
        <v>44657</v>
      </c>
      <c r="D74" s="50">
        <v>44665</v>
      </c>
      <c r="E74" s="51">
        <v>807147.12</v>
      </c>
      <c r="F74" s="51">
        <v>0</v>
      </c>
      <c r="G74" s="51">
        <v>0</v>
      </c>
      <c r="H74" s="51">
        <v>0</v>
      </c>
      <c r="I74" s="51">
        <v>0</v>
      </c>
      <c r="J74" s="51">
        <v>122512.02</v>
      </c>
      <c r="K74" s="51">
        <f t="shared" ref="K74" si="7">SUM(E74:J74)</f>
        <v>929659.14</v>
      </c>
      <c r="L74" s="51">
        <f>$D$6-SUM(K$10:K74)</f>
        <v>6147658.2099999934</v>
      </c>
      <c r="M74" s="46"/>
      <c r="N74" s="40"/>
    </row>
    <row r="75" spans="1:14" ht="14.5">
      <c r="A75" s="18"/>
      <c r="B75" s="55">
        <v>1322</v>
      </c>
      <c r="C75" s="50">
        <v>44697</v>
      </c>
      <c r="D75" s="50">
        <v>44712</v>
      </c>
      <c r="E75" s="51">
        <v>1047538.03</v>
      </c>
      <c r="F75" s="51">
        <v>0</v>
      </c>
      <c r="G75" s="51">
        <v>0</v>
      </c>
      <c r="H75" s="51">
        <v>0</v>
      </c>
      <c r="I75" s="51">
        <v>0</v>
      </c>
      <c r="J75" s="51">
        <v>145009.94</v>
      </c>
      <c r="K75" s="51">
        <f t="shared" ref="K75" si="8">SUM(E75:J75)</f>
        <v>1192547.97</v>
      </c>
      <c r="L75" s="51">
        <f>$D$6-SUM(K$10:K75)</f>
        <v>4955110.2399999946</v>
      </c>
      <c r="M75" s="46"/>
      <c r="N75" s="40"/>
    </row>
    <row r="76" spans="1:14" ht="14.5">
      <c r="A76" s="18"/>
      <c r="B76" s="55">
        <v>1351</v>
      </c>
      <c r="C76" s="50">
        <v>44701</v>
      </c>
      <c r="D76" s="50">
        <v>44712</v>
      </c>
      <c r="E76" s="51">
        <v>0</v>
      </c>
      <c r="F76" s="51">
        <v>0</v>
      </c>
      <c r="G76" s="51">
        <v>561707.16</v>
      </c>
      <c r="H76" s="51">
        <v>0</v>
      </c>
      <c r="I76" s="51">
        <v>142526.85</v>
      </c>
      <c r="J76" s="51">
        <v>9339.7999999999993</v>
      </c>
      <c r="K76" s="51">
        <f t="shared" ref="K76" si="9">SUM(E76:J76)</f>
        <v>713573.81</v>
      </c>
      <c r="L76" s="51">
        <f>$D$6-SUM(K$10:K76)</f>
        <v>4241536.4299999923</v>
      </c>
      <c r="M76" s="46"/>
      <c r="N76" s="40"/>
    </row>
    <row r="77" spans="1:14" ht="14.5">
      <c r="A77" s="18"/>
      <c r="B77" s="55">
        <v>1639</v>
      </c>
      <c r="C77" s="50">
        <v>44733</v>
      </c>
      <c r="D77" s="50">
        <v>44742</v>
      </c>
      <c r="E77" s="51">
        <v>974930.39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ref="K77" si="10">SUM(E77:J77)</f>
        <v>974930.39</v>
      </c>
      <c r="L77" s="51">
        <f>$D$6-SUM(K$10:K77)</f>
        <v>3266606.0399999917</v>
      </c>
      <c r="M77" s="46"/>
      <c r="N77" s="40"/>
    </row>
    <row r="78" spans="1:14" ht="14.5">
      <c r="A78" s="18"/>
      <c r="B78" s="55">
        <v>1639</v>
      </c>
      <c r="C78" s="50">
        <v>44733</v>
      </c>
      <c r="D78" s="50">
        <v>44757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134210.51999999999</v>
      </c>
      <c r="K78" s="51">
        <f t="shared" ref="K78:K80" si="11">SUM(E78:J78)</f>
        <v>134210.51999999999</v>
      </c>
      <c r="L78" s="51">
        <f>$D$6-SUM(K$10:K78)</f>
        <v>3132395.5199999958</v>
      </c>
      <c r="M78" s="46"/>
      <c r="N78" s="40"/>
    </row>
    <row r="79" spans="1:14" ht="14.5">
      <c r="A79" s="18"/>
      <c r="B79" s="55">
        <v>1864</v>
      </c>
      <c r="C79" s="50">
        <v>44755</v>
      </c>
      <c r="D79" s="50">
        <v>44771</v>
      </c>
      <c r="E79" s="51">
        <v>849858.92</v>
      </c>
      <c r="F79" s="51">
        <v>0</v>
      </c>
      <c r="G79" s="51">
        <v>0</v>
      </c>
      <c r="H79" s="51">
        <v>0</v>
      </c>
      <c r="I79" s="51">
        <v>0</v>
      </c>
      <c r="J79" s="51">
        <v>121596.92</v>
      </c>
      <c r="K79" s="51">
        <f t="shared" si="11"/>
        <v>971455.84000000008</v>
      </c>
      <c r="L79" s="51">
        <f>$D$6-SUM(K$10:K79)</f>
        <v>2160939.6799999923</v>
      </c>
      <c r="M79" s="46"/>
      <c r="N79" s="40"/>
    </row>
    <row r="80" spans="1:14" ht="14.5">
      <c r="A80" s="18"/>
      <c r="B80" s="55">
        <v>2131</v>
      </c>
      <c r="C80" s="50">
        <v>44781</v>
      </c>
      <c r="D80" s="50">
        <v>44785</v>
      </c>
      <c r="E80" s="51">
        <v>369950.2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f t="shared" si="11"/>
        <v>369950.2</v>
      </c>
      <c r="L80" s="51">
        <f>$D$6-SUM(K$10:K80)</f>
        <v>1790989.4799999893</v>
      </c>
      <c r="M80" s="46"/>
      <c r="N80" s="40"/>
    </row>
    <row r="81" spans="1:14" ht="14.5">
      <c r="A81" s="18"/>
      <c r="B81" s="55">
        <v>2512</v>
      </c>
      <c r="C81" s="50">
        <v>44813</v>
      </c>
      <c r="D81" s="50">
        <v>44819</v>
      </c>
      <c r="E81" s="51">
        <v>484351.88</v>
      </c>
      <c r="F81" s="51">
        <v>0</v>
      </c>
      <c r="G81" s="51">
        <v>0</v>
      </c>
      <c r="H81" s="51">
        <v>0</v>
      </c>
      <c r="I81" s="51">
        <v>0</v>
      </c>
      <c r="J81" s="51">
        <v>66612.92</v>
      </c>
      <c r="K81" s="51">
        <f t="shared" ref="K81:K86" si="12">SUM(E81:J81)</f>
        <v>550964.80000000005</v>
      </c>
      <c r="L81" s="51">
        <f>$D$6-SUM(K$10:K81)</f>
        <v>1240024.6799999923</v>
      </c>
      <c r="M81" s="46"/>
      <c r="N81" s="40"/>
    </row>
    <row r="82" spans="1:14" ht="14.5">
      <c r="A82" s="18"/>
      <c r="B82" s="55">
        <v>2908</v>
      </c>
      <c r="C82" s="50">
        <v>44844</v>
      </c>
      <c r="D82" s="50">
        <v>44851</v>
      </c>
      <c r="E82" s="51">
        <v>452356.65</v>
      </c>
      <c r="F82" s="51">
        <v>0</v>
      </c>
      <c r="G82" s="51">
        <v>0</v>
      </c>
      <c r="H82" s="51">
        <v>0</v>
      </c>
      <c r="I82" s="51">
        <v>0</v>
      </c>
      <c r="J82" s="51">
        <v>64341.77</v>
      </c>
      <c r="K82" s="51">
        <f t="shared" si="12"/>
        <v>516698.42000000004</v>
      </c>
      <c r="L82" s="51">
        <f>$D$6-SUM(K$10:K82)</f>
        <v>723326.25999999046</v>
      </c>
      <c r="M82" s="46"/>
      <c r="N82" s="40"/>
    </row>
    <row r="83" spans="1:14" ht="14.5">
      <c r="A83" s="18"/>
      <c r="B83" s="55">
        <v>3126</v>
      </c>
      <c r="C83" s="50">
        <v>44865</v>
      </c>
      <c r="D83" s="50">
        <v>44881</v>
      </c>
      <c r="E83" s="51">
        <v>323016.8</v>
      </c>
      <c r="F83" s="51">
        <v>0</v>
      </c>
      <c r="G83" s="51">
        <v>0</v>
      </c>
      <c r="H83" s="51">
        <v>0</v>
      </c>
      <c r="I83" s="51">
        <v>0</v>
      </c>
      <c r="J83" s="51">
        <v>45042.29</v>
      </c>
      <c r="K83" s="51">
        <f t="shared" si="12"/>
        <v>368059.08999999997</v>
      </c>
      <c r="L83" s="51">
        <f>$D$6-SUM(K$10:K83)</f>
        <v>355267.16999998689</v>
      </c>
      <c r="M83" s="46"/>
      <c r="N83" s="40"/>
    </row>
    <row r="84" spans="1:14" ht="14.5">
      <c r="A84" s="18"/>
      <c r="B84" s="55">
        <v>23</v>
      </c>
      <c r="C84" s="50">
        <v>44932</v>
      </c>
      <c r="D84" s="50">
        <v>44939</v>
      </c>
      <c r="E84" s="51">
        <v>101492.37</v>
      </c>
      <c r="F84" s="51">
        <v>0</v>
      </c>
      <c r="G84" s="51">
        <v>0</v>
      </c>
      <c r="H84" s="51">
        <v>0</v>
      </c>
      <c r="I84" s="51">
        <v>0</v>
      </c>
      <c r="J84" s="51">
        <v>13499.9</v>
      </c>
      <c r="K84" s="51">
        <f t="shared" si="12"/>
        <v>114992.26999999999</v>
      </c>
      <c r="L84" s="51">
        <f>$D$6-SUM(K$10:K84)</f>
        <v>240274.89999999106</v>
      </c>
      <c r="M84" s="46"/>
      <c r="N84" s="40"/>
    </row>
    <row r="85" spans="1:14" ht="14.5">
      <c r="A85" s="18"/>
      <c r="B85" s="55">
        <v>587</v>
      </c>
      <c r="C85" s="50">
        <v>44992</v>
      </c>
      <c r="D85" s="50">
        <v>44999</v>
      </c>
      <c r="E85" s="51">
        <v>134864.47</v>
      </c>
      <c r="F85" s="51">
        <v>0</v>
      </c>
      <c r="G85" s="51">
        <v>0</v>
      </c>
      <c r="H85" s="51">
        <v>0</v>
      </c>
      <c r="I85" s="51">
        <v>0</v>
      </c>
      <c r="J85" s="51">
        <v>18422.23</v>
      </c>
      <c r="K85" s="51">
        <f t="shared" si="12"/>
        <v>153286.70000000001</v>
      </c>
      <c r="L85" s="51">
        <f>$D$6-SUM(K$10:K85)</f>
        <v>86988.199999988079</v>
      </c>
      <c r="M85" s="46"/>
      <c r="N85" s="40"/>
    </row>
    <row r="86" spans="1:14" ht="14.5">
      <c r="A86" s="18"/>
      <c r="B86" s="55">
        <v>1340</v>
      </c>
      <c r="C86" s="50">
        <v>45061</v>
      </c>
      <c r="D86" s="50">
        <v>45077</v>
      </c>
      <c r="E86" s="51">
        <v>27971.37</v>
      </c>
      <c r="F86" s="51">
        <v>0</v>
      </c>
      <c r="G86" s="51">
        <v>0</v>
      </c>
      <c r="H86" s="51">
        <v>0</v>
      </c>
      <c r="I86" s="51">
        <v>0</v>
      </c>
      <c r="J86" s="51">
        <v>5560.48</v>
      </c>
      <c r="K86" s="51">
        <f t="shared" si="12"/>
        <v>33531.85</v>
      </c>
      <c r="L86" s="51">
        <f>$D$6-SUM(K$10:K86)</f>
        <v>53456.34999999404</v>
      </c>
      <c r="M86" s="46"/>
      <c r="N86" s="40"/>
    </row>
    <row r="87" spans="1:14" ht="15">
      <c r="A87" s="18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40"/>
      <c r="N87" s="40"/>
    </row>
    <row r="88" spans="1:14">
      <c r="A88" s="18"/>
      <c r="B88" s="18"/>
      <c r="C88" s="18"/>
      <c r="D88" s="18"/>
      <c r="E88" s="32"/>
      <c r="F88" s="32"/>
      <c r="G88" s="32"/>
      <c r="H88" s="32"/>
      <c r="I88" s="32"/>
      <c r="J88" s="32"/>
      <c r="K88" s="32"/>
      <c r="L88" s="32"/>
      <c r="M88" s="18"/>
    </row>
    <row r="89" spans="1:14" ht="14.5">
      <c r="A89" s="18"/>
      <c r="B89" s="18"/>
      <c r="C89" s="18"/>
      <c r="D89" s="18"/>
      <c r="E89" s="42"/>
      <c r="F89" s="18"/>
      <c r="G89" s="18"/>
      <c r="H89" s="18"/>
      <c r="I89" s="18"/>
      <c r="J89" s="18"/>
      <c r="K89" s="18"/>
      <c r="L89" s="18"/>
      <c r="M89" s="18"/>
    </row>
    <row r="90" spans="1:14" ht="14.5">
      <c r="A90" s="18"/>
      <c r="E90" s="42"/>
      <c r="F90" s="18"/>
      <c r="G90" s="18"/>
      <c r="H90" s="18"/>
      <c r="I90" s="18"/>
      <c r="J90" s="18"/>
      <c r="K90" s="18"/>
      <c r="L90" s="18"/>
      <c r="M90" s="18"/>
    </row>
    <row r="91" spans="1:14" ht="14.5">
      <c r="E91" s="42"/>
      <c r="F91" s="18"/>
      <c r="G91" s="18"/>
      <c r="H91" s="18"/>
      <c r="I91" s="18"/>
    </row>
    <row r="92" spans="1:14" ht="14.5">
      <c r="E92" s="42"/>
      <c r="F92" s="18"/>
      <c r="G92" s="18"/>
      <c r="H92" s="18"/>
      <c r="I92" s="18"/>
    </row>
  </sheetData>
  <sortState xmlns:xlrd2="http://schemas.microsoft.com/office/spreadsheetml/2017/richdata2" ref="B10:K65">
    <sortCondition ref="C10:C65"/>
    <sortCondition ref="B10:B65"/>
    <sortCondition ref="D10:D65"/>
  </sortState>
  <mergeCells count="5">
    <mergeCell ref="D8:D9"/>
    <mergeCell ref="C8:C9"/>
    <mergeCell ref="B8:B9"/>
    <mergeCell ref="K8:K9"/>
    <mergeCell ref="L8:L9"/>
  </mergeCells>
  <hyperlinks>
    <hyperlink ref="G5" r:id="rId1" xr:uid="{F5929304-9E28-42B3-8DEA-77F382852964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930C-3DED-49CD-8D5A-92DC00412319}">
  <dimension ref="A2:AN45"/>
  <sheetViews>
    <sheetView showGridLines="0" zoomScale="85" zoomScaleNormal="85" workbookViewId="0">
      <pane xSplit="4" ySplit="10" topLeftCell="E2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A36" sqref="A34:XFD36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1.7265625" style="14" customWidth="1"/>
    <col min="5" max="38" width="22.26953125" style="14" customWidth="1"/>
    <col min="39" max="39" width="16.7265625" style="14" customWidth="1"/>
    <col min="40" max="40" width="11.26953125" style="14" bestFit="1" customWidth="1"/>
    <col min="41" max="16384" width="8.7265625" style="14"/>
  </cols>
  <sheetData>
    <row r="2" spans="1:40" ht="24">
      <c r="B2" s="57" t="s">
        <v>14</v>
      </c>
      <c r="C2" s="16"/>
      <c r="D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40" ht="16">
      <c r="A3" s="18"/>
      <c r="B3" s="19"/>
      <c r="C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34"/>
    </row>
    <row r="4" spans="1:40" ht="16">
      <c r="A4" s="18"/>
      <c r="B4" s="58" t="s">
        <v>6</v>
      </c>
      <c r="C4" s="59"/>
      <c r="D4" s="58" t="s">
        <v>18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40" ht="16">
      <c r="A5" s="18"/>
      <c r="B5" s="58" t="s">
        <v>0</v>
      </c>
      <c r="C5" s="59"/>
      <c r="D5" s="58" t="s">
        <v>19</v>
      </c>
      <c r="F5" s="21"/>
      <c r="G5" s="45" t="s">
        <v>20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40" ht="16">
      <c r="A6" s="18"/>
      <c r="B6" s="58"/>
      <c r="C6" s="60"/>
      <c r="D6" s="58" t="s">
        <v>81</v>
      </c>
      <c r="F6" s="21"/>
      <c r="G6" s="45" t="s">
        <v>82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40" ht="16">
      <c r="A7" s="18"/>
      <c r="B7" s="58" t="s">
        <v>1</v>
      </c>
      <c r="C7" s="59"/>
      <c r="D7" s="80">
        <v>51560887.630000003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40" ht="16">
      <c r="A8" s="18"/>
      <c r="B8" s="21"/>
      <c r="C8" s="21"/>
      <c r="D8" s="37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40" ht="30" customHeight="1">
      <c r="A9" s="27"/>
      <c r="B9" s="90" t="s">
        <v>8</v>
      </c>
      <c r="C9" s="91" t="s">
        <v>15</v>
      </c>
      <c r="D9" s="91" t="s">
        <v>16</v>
      </c>
      <c r="E9" s="28" t="s">
        <v>51</v>
      </c>
      <c r="F9" s="28" t="s">
        <v>80</v>
      </c>
      <c r="G9" s="28" t="s">
        <v>84</v>
      </c>
      <c r="H9" s="28" t="s">
        <v>85</v>
      </c>
      <c r="I9" s="28" t="s">
        <v>86</v>
      </c>
      <c r="J9" s="28" t="s">
        <v>87</v>
      </c>
      <c r="K9" s="28" t="s">
        <v>123</v>
      </c>
      <c r="L9" s="28" t="s">
        <v>137</v>
      </c>
      <c r="M9" s="28" t="s">
        <v>139</v>
      </c>
      <c r="N9" s="28" t="s">
        <v>140</v>
      </c>
      <c r="O9" s="28" t="s">
        <v>89</v>
      </c>
      <c r="P9" s="28" t="s">
        <v>62</v>
      </c>
      <c r="Q9" s="28" t="s">
        <v>163</v>
      </c>
      <c r="R9" s="28" t="s">
        <v>164</v>
      </c>
      <c r="S9" s="28" t="s">
        <v>171</v>
      </c>
      <c r="T9" s="28" t="s">
        <v>165</v>
      </c>
      <c r="U9" s="28" t="s">
        <v>166</v>
      </c>
      <c r="V9" s="28" t="s">
        <v>167</v>
      </c>
      <c r="W9" s="28" t="s">
        <v>168</v>
      </c>
      <c r="X9" s="28" t="s">
        <v>193</v>
      </c>
      <c r="Y9" s="28" t="s">
        <v>195</v>
      </c>
      <c r="Z9" s="28" t="s">
        <v>148</v>
      </c>
      <c r="AA9" s="28" t="s">
        <v>127</v>
      </c>
      <c r="AB9" s="28" t="s">
        <v>197</v>
      </c>
      <c r="AC9" s="28" t="s">
        <v>199</v>
      </c>
      <c r="AD9" s="28" t="s">
        <v>200</v>
      </c>
      <c r="AE9" s="28" t="s">
        <v>203</v>
      </c>
      <c r="AF9" s="28" t="s">
        <v>205</v>
      </c>
      <c r="AG9" s="28" t="s">
        <v>207</v>
      </c>
      <c r="AH9" s="28" t="s">
        <v>214</v>
      </c>
      <c r="AI9" s="28" t="s">
        <v>217</v>
      </c>
      <c r="AJ9" s="28" t="s">
        <v>3</v>
      </c>
      <c r="AK9" s="91" t="s">
        <v>2</v>
      </c>
      <c r="AL9" s="91" t="s">
        <v>17</v>
      </c>
      <c r="AM9" s="39"/>
      <c r="AN9" s="39"/>
    </row>
    <row r="10" spans="1:40" ht="16.5" customHeight="1">
      <c r="A10" s="27"/>
      <c r="B10" s="90"/>
      <c r="C10" s="91"/>
      <c r="D10" s="91"/>
      <c r="E10" s="68" t="s">
        <v>92</v>
      </c>
      <c r="F10" s="68" t="s">
        <v>98</v>
      </c>
      <c r="G10" s="68" t="s">
        <v>93</v>
      </c>
      <c r="H10" s="68" t="s">
        <v>94</v>
      </c>
      <c r="I10" s="68" t="s">
        <v>95</v>
      </c>
      <c r="J10" s="68" t="s">
        <v>96</v>
      </c>
      <c r="K10" s="68" t="s">
        <v>210</v>
      </c>
      <c r="L10" s="68" t="s">
        <v>103</v>
      </c>
      <c r="M10" s="68" t="s">
        <v>138</v>
      </c>
      <c r="N10" s="68" t="s">
        <v>141</v>
      </c>
      <c r="O10" s="68" t="s">
        <v>120</v>
      </c>
      <c r="P10" s="68" t="s">
        <v>115</v>
      </c>
      <c r="Q10" s="68" t="s">
        <v>156</v>
      </c>
      <c r="R10" s="68" t="s">
        <v>157</v>
      </c>
      <c r="S10" s="68" t="s">
        <v>158</v>
      </c>
      <c r="T10" s="68" t="s">
        <v>159</v>
      </c>
      <c r="U10" s="68" t="s">
        <v>160</v>
      </c>
      <c r="V10" s="68" t="s">
        <v>161</v>
      </c>
      <c r="W10" s="68" t="s">
        <v>162</v>
      </c>
      <c r="X10" s="68" t="s">
        <v>194</v>
      </c>
      <c r="Y10" s="68" t="s">
        <v>209</v>
      </c>
      <c r="Z10" s="68" t="s">
        <v>149</v>
      </c>
      <c r="AA10" s="68" t="s">
        <v>134</v>
      </c>
      <c r="AB10" s="68" t="s">
        <v>196</v>
      </c>
      <c r="AC10" s="68" t="s">
        <v>198</v>
      </c>
      <c r="AD10" s="68" t="s">
        <v>201</v>
      </c>
      <c r="AE10" s="68" t="s">
        <v>204</v>
      </c>
      <c r="AF10" s="68" t="s">
        <v>206</v>
      </c>
      <c r="AG10" s="68" t="s">
        <v>208</v>
      </c>
      <c r="AH10" s="68" t="s">
        <v>215</v>
      </c>
      <c r="AI10" s="68" t="s">
        <v>218</v>
      </c>
      <c r="AJ10" s="68" t="s">
        <v>91</v>
      </c>
      <c r="AK10" s="91"/>
      <c r="AL10" s="91"/>
      <c r="AM10" s="39"/>
      <c r="AN10" s="39"/>
    </row>
    <row r="11" spans="1:40" ht="14.5">
      <c r="A11" s="18"/>
      <c r="B11" s="52" t="s">
        <v>173</v>
      </c>
      <c r="C11" s="50">
        <v>44586</v>
      </c>
      <c r="D11" s="50">
        <v>44592</v>
      </c>
      <c r="E11" s="51">
        <v>1315945.06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41832.49</v>
      </c>
      <c r="AK11" s="51">
        <f t="shared" ref="AK11:AK24" si="0">SUM(E11:AJ11)</f>
        <v>1357777.55</v>
      </c>
      <c r="AL11" s="51">
        <f>$D$7-SUM(AK$11:AK11)</f>
        <v>50203110.080000006</v>
      </c>
      <c r="AM11" s="40"/>
      <c r="AN11" s="40"/>
    </row>
    <row r="12" spans="1:40" ht="14.5">
      <c r="A12" s="18"/>
      <c r="B12" s="52" t="s">
        <v>174</v>
      </c>
      <c r="C12" s="50">
        <v>44676</v>
      </c>
      <c r="D12" s="50">
        <v>44680</v>
      </c>
      <c r="E12" s="51">
        <v>342376.72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40167.1</v>
      </c>
      <c r="AK12" s="51">
        <f t="shared" si="0"/>
        <v>382543.81999999995</v>
      </c>
      <c r="AL12" s="51">
        <f>$D$7-SUM(AK$11:AK12)</f>
        <v>49820566.260000005</v>
      </c>
      <c r="AM12" s="40"/>
      <c r="AN12" s="40"/>
    </row>
    <row r="13" spans="1:40" ht="14.5">
      <c r="A13" s="18"/>
      <c r="B13" s="52" t="s">
        <v>175</v>
      </c>
      <c r="C13" s="50">
        <v>44727</v>
      </c>
      <c r="D13" s="50">
        <v>44742</v>
      </c>
      <c r="E13" s="51">
        <v>97886.73</v>
      </c>
      <c r="F13" s="51">
        <v>749850.75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f t="shared" si="0"/>
        <v>847737.48</v>
      </c>
      <c r="AL13" s="51">
        <f>$D$7-SUM(AK$11:AK13)</f>
        <v>48972828.780000001</v>
      </c>
      <c r="AM13" s="46"/>
      <c r="AN13" s="40"/>
    </row>
    <row r="14" spans="1:40" ht="14.5">
      <c r="A14" s="18"/>
      <c r="B14" s="52" t="s">
        <v>175</v>
      </c>
      <c r="C14" s="50">
        <v>44727</v>
      </c>
      <c r="D14" s="50">
        <v>44757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11483.92</v>
      </c>
      <c r="AK14" s="51">
        <f t="shared" si="0"/>
        <v>11483.92</v>
      </c>
      <c r="AL14" s="51">
        <f>$D$7-SUM(AK$11:AK14)</f>
        <v>48961344.859999999</v>
      </c>
      <c r="AM14" s="46"/>
      <c r="AN14" s="40"/>
    </row>
    <row r="15" spans="1:40" ht="14.5">
      <c r="A15" s="18"/>
      <c r="B15" s="52" t="s">
        <v>176</v>
      </c>
      <c r="C15" s="50">
        <v>44792</v>
      </c>
      <c r="D15" s="50">
        <v>44804</v>
      </c>
      <c r="E15" s="51">
        <v>567582.42000000004</v>
      </c>
      <c r="F15" s="51">
        <v>0</v>
      </c>
      <c r="G15" s="51">
        <v>102729.93</v>
      </c>
      <c r="H15" s="51">
        <v>140473.56</v>
      </c>
      <c r="I15" s="51">
        <v>19182.939999999999</v>
      </c>
      <c r="J15" s="51">
        <v>53168.5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80534.320000000007</v>
      </c>
      <c r="AK15" s="51">
        <f t="shared" si="0"/>
        <v>963671.67000000016</v>
      </c>
      <c r="AL15" s="51">
        <f>$D$7-SUM(AK$11:AK15)</f>
        <v>47997673.190000005</v>
      </c>
      <c r="AM15" s="46"/>
      <c r="AN15" s="40"/>
    </row>
    <row r="16" spans="1:40" ht="14.5">
      <c r="A16" s="18"/>
      <c r="B16" s="52" t="s">
        <v>177</v>
      </c>
      <c r="C16" s="50">
        <v>44819</v>
      </c>
      <c r="D16" s="50">
        <v>44834</v>
      </c>
      <c r="E16" s="51">
        <v>450247.52</v>
      </c>
      <c r="F16" s="51">
        <v>1124776.1200000001</v>
      </c>
      <c r="G16" s="51">
        <v>0</v>
      </c>
      <c r="H16" s="51">
        <v>0</v>
      </c>
      <c r="I16" s="51">
        <v>0</v>
      </c>
      <c r="J16" s="51">
        <v>0</v>
      </c>
      <c r="K16" s="51">
        <v>194974.48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9270.1</v>
      </c>
      <c r="AK16" s="51">
        <f t="shared" si="0"/>
        <v>1779268.2200000002</v>
      </c>
      <c r="AL16" s="51">
        <f>$D$7-SUM(AK$11:AK16)</f>
        <v>46218404.969999999</v>
      </c>
      <c r="AM16" s="46"/>
      <c r="AN16" s="40"/>
    </row>
    <row r="17" spans="1:40" ht="14.5">
      <c r="A17" s="18"/>
      <c r="B17" s="52" t="s">
        <v>178</v>
      </c>
      <c r="C17" s="50">
        <v>44876</v>
      </c>
      <c r="D17" s="50">
        <v>44895</v>
      </c>
      <c r="E17" s="51">
        <v>290006.93</v>
      </c>
      <c r="F17" s="51">
        <v>0</v>
      </c>
      <c r="G17" s="51">
        <v>0</v>
      </c>
      <c r="H17" s="51">
        <v>71683.75</v>
      </c>
      <c r="I17" s="51">
        <v>0</v>
      </c>
      <c r="J17" s="51">
        <v>0</v>
      </c>
      <c r="K17" s="51">
        <v>0</v>
      </c>
      <c r="L17" s="51">
        <v>1062139.54</v>
      </c>
      <c r="M17" s="51">
        <v>56797.55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25618.52</v>
      </c>
      <c r="AK17" s="51">
        <f t="shared" si="0"/>
        <v>1506246.29</v>
      </c>
      <c r="AL17" s="51">
        <f>$D$7-SUM(AK$11:AK17)</f>
        <v>44712158.68</v>
      </c>
      <c r="AM17" s="46"/>
      <c r="AN17" s="40"/>
    </row>
    <row r="18" spans="1:40" ht="14.5">
      <c r="A18" s="18"/>
      <c r="B18" s="52" t="s">
        <v>179</v>
      </c>
      <c r="C18" s="50">
        <v>44876</v>
      </c>
      <c r="D18" s="50">
        <v>44895</v>
      </c>
      <c r="E18" s="51">
        <v>1763057.11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59400</v>
      </c>
      <c r="O18" s="51">
        <v>240508.2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77039.83</v>
      </c>
      <c r="AK18" s="51">
        <f t="shared" si="0"/>
        <v>2140005.14</v>
      </c>
      <c r="AL18" s="51">
        <f>$D$7-SUM(AK$11:AK18)</f>
        <v>42572153.540000007</v>
      </c>
      <c r="AM18" s="46"/>
      <c r="AN18" s="40"/>
    </row>
    <row r="19" spans="1:40" ht="14.5">
      <c r="A19" s="18"/>
      <c r="B19" s="55" t="s">
        <v>155</v>
      </c>
      <c r="C19" s="50">
        <v>44908</v>
      </c>
      <c r="D19" s="50">
        <v>44925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61747.19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f t="shared" si="0"/>
        <v>61747.19</v>
      </c>
      <c r="AL19" s="51">
        <f>$D$7-SUM(AK$11:AK19)</f>
        <v>42510406.350000001</v>
      </c>
      <c r="AM19" s="46"/>
      <c r="AN19" s="40"/>
    </row>
    <row r="20" spans="1:40" ht="14.5">
      <c r="A20" s="18"/>
      <c r="B20" s="52" t="s">
        <v>180</v>
      </c>
      <c r="C20" s="50">
        <v>44923</v>
      </c>
      <c r="D20" s="50">
        <v>44939</v>
      </c>
      <c r="E20" s="51">
        <v>6958032.0199999996</v>
      </c>
      <c r="F20" s="51">
        <v>2024597.01</v>
      </c>
      <c r="G20" s="51">
        <v>919578.35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86005.04</v>
      </c>
      <c r="R20" s="51">
        <v>0</v>
      </c>
      <c r="S20" s="51">
        <v>80185.960000000006</v>
      </c>
      <c r="T20" s="51">
        <v>0</v>
      </c>
      <c r="U20" s="51">
        <v>0</v>
      </c>
      <c r="V20" s="51">
        <v>0</v>
      </c>
      <c r="W20" s="51">
        <v>2950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763507.12</v>
      </c>
      <c r="AK20" s="51">
        <f t="shared" si="0"/>
        <v>10834855.499999998</v>
      </c>
      <c r="AL20" s="51">
        <f>$D$7-SUM(AK$11:AK20)</f>
        <v>31675550.850000005</v>
      </c>
      <c r="AM20" s="46"/>
      <c r="AN20" s="40"/>
    </row>
    <row r="21" spans="1:40" ht="14.5">
      <c r="A21" s="18"/>
      <c r="B21" s="52" t="s">
        <v>172</v>
      </c>
      <c r="C21" s="50">
        <v>44935</v>
      </c>
      <c r="D21" s="50">
        <v>44939</v>
      </c>
      <c r="E21" s="51">
        <v>381550.35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44762.9</v>
      </c>
      <c r="AK21" s="51">
        <f t="shared" si="0"/>
        <v>426313.25</v>
      </c>
      <c r="AL21" s="51">
        <f>$D$7-SUM(AK$11:AK21)</f>
        <v>31249237.600000005</v>
      </c>
      <c r="AM21" s="46"/>
      <c r="AN21" s="40"/>
    </row>
    <row r="22" spans="1:40" ht="14.5">
      <c r="A22" s="18"/>
      <c r="B22" s="52" t="s">
        <v>180</v>
      </c>
      <c r="C22" s="50">
        <v>44923</v>
      </c>
      <c r="D22" s="50">
        <v>44957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685697.17</v>
      </c>
      <c r="S22" s="51">
        <v>0</v>
      </c>
      <c r="T22" s="51">
        <v>0</v>
      </c>
      <c r="U22" s="51">
        <v>63489.4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0"/>
        <v>749186.57000000007</v>
      </c>
      <c r="AL22" s="51">
        <f>$D$7-SUM(AK$11:AK22)</f>
        <v>30500051.030000005</v>
      </c>
      <c r="AM22" s="46"/>
      <c r="AN22" s="40"/>
    </row>
    <row r="23" spans="1:40" ht="14.5">
      <c r="A23" s="18"/>
      <c r="B23" s="52" t="s">
        <v>180</v>
      </c>
      <c r="C23" s="50">
        <v>44923</v>
      </c>
      <c r="D23" s="50">
        <v>44971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75571.16</v>
      </c>
      <c r="U23" s="51">
        <v>0</v>
      </c>
      <c r="V23" s="51">
        <v>68306.42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f t="shared" si="0"/>
        <v>143877.58000000002</v>
      </c>
      <c r="AL23" s="51">
        <f>$D$7-SUM(AK$11:AK23)</f>
        <v>30356173.450000007</v>
      </c>
      <c r="AM23" s="46"/>
      <c r="AN23" s="40"/>
    </row>
    <row r="24" spans="1:40" ht="14.5">
      <c r="A24" s="18"/>
      <c r="B24" s="52" t="s">
        <v>192</v>
      </c>
      <c r="C24" s="50">
        <v>44992</v>
      </c>
      <c r="D24" s="50">
        <v>45016</v>
      </c>
      <c r="E24" s="51">
        <v>1135945.99</v>
      </c>
      <c r="F24" s="51">
        <v>3344755.29</v>
      </c>
      <c r="G24" s="51">
        <v>0</v>
      </c>
      <c r="H24" s="51">
        <v>0</v>
      </c>
      <c r="I24" s="51">
        <v>0</v>
      </c>
      <c r="J24" s="51">
        <v>0</v>
      </c>
      <c r="K24" s="51">
        <v>162478.73000000001</v>
      </c>
      <c r="L24" s="51">
        <v>2331881.5</v>
      </c>
      <c r="M24" s="51">
        <v>0</v>
      </c>
      <c r="N24" s="51">
        <v>138600</v>
      </c>
      <c r="O24" s="51">
        <v>0</v>
      </c>
      <c r="P24" s="51">
        <v>70301.570000000007</v>
      </c>
      <c r="Q24" s="51">
        <v>0</v>
      </c>
      <c r="R24" s="51">
        <v>972341.6</v>
      </c>
      <c r="S24" s="51">
        <v>197336.69</v>
      </c>
      <c r="T24" s="51">
        <v>0</v>
      </c>
      <c r="U24" s="51">
        <v>0</v>
      </c>
      <c r="V24" s="51">
        <v>109357.9</v>
      </c>
      <c r="W24" s="51">
        <v>0</v>
      </c>
      <c r="X24" s="51">
        <v>574059.03</v>
      </c>
      <c r="Y24" s="51">
        <v>219500</v>
      </c>
      <c r="Z24" s="51">
        <v>44578</v>
      </c>
      <c r="AA24" s="51">
        <v>495601.99</v>
      </c>
      <c r="AB24" s="51">
        <v>0</v>
      </c>
      <c r="AC24" s="51">
        <v>283684.88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57072.46</v>
      </c>
      <c r="AK24" s="51">
        <f t="shared" si="0"/>
        <v>10137495.630000003</v>
      </c>
      <c r="AL24" s="51">
        <f>$D$7-SUM(AK$11:AK24)</f>
        <v>20218677.820000004</v>
      </c>
      <c r="AM24" s="46"/>
      <c r="AN24" s="40"/>
    </row>
    <row r="25" spans="1:40" ht="14.5">
      <c r="A25" s="18"/>
      <c r="B25" s="52" t="s">
        <v>202</v>
      </c>
      <c r="C25" s="50">
        <v>44993</v>
      </c>
      <c r="D25" s="50">
        <v>45016</v>
      </c>
      <c r="E25" s="51">
        <v>3740973.89</v>
      </c>
      <c r="F25" s="51">
        <v>0</v>
      </c>
      <c r="G25" s="51">
        <v>0</v>
      </c>
      <c r="H25" s="51">
        <v>76694.22</v>
      </c>
      <c r="I25" s="51">
        <v>0</v>
      </c>
      <c r="J25" s="51">
        <v>0</v>
      </c>
      <c r="K25" s="51">
        <v>74589.48</v>
      </c>
      <c r="L25" s="51">
        <v>796665.14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12071.57</v>
      </c>
      <c r="Z25" s="51">
        <v>0</v>
      </c>
      <c r="AA25" s="51">
        <v>0</v>
      </c>
      <c r="AB25" s="51">
        <v>0</v>
      </c>
      <c r="AC25" s="51">
        <v>0</v>
      </c>
      <c r="AD25" s="51">
        <v>1501278.33</v>
      </c>
      <c r="AE25" s="51">
        <v>143039.98000000001</v>
      </c>
      <c r="AF25" s="51">
        <v>350244.65</v>
      </c>
      <c r="AG25" s="51">
        <v>143820.57</v>
      </c>
      <c r="AH25" s="51">
        <v>0</v>
      </c>
      <c r="AI25" s="51">
        <v>0</v>
      </c>
      <c r="AJ25" s="51">
        <v>253847.07</v>
      </c>
      <c r="AK25" s="51">
        <f t="shared" ref="AK25" si="1">SUM(E25:AJ25)</f>
        <v>7093224.9000000022</v>
      </c>
      <c r="AL25" s="51">
        <f>$D$7-SUM(AK$11:AK25)</f>
        <v>13125452.920000002</v>
      </c>
      <c r="AM25" s="46"/>
      <c r="AN25" s="40"/>
    </row>
    <row r="26" spans="1:40" ht="14.5">
      <c r="A26" s="18"/>
      <c r="B26" s="52" t="s">
        <v>213</v>
      </c>
      <c r="C26" s="50">
        <v>45028</v>
      </c>
      <c r="D26" s="50">
        <v>45044</v>
      </c>
      <c r="E26" s="51">
        <v>2223678.4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76881.42</v>
      </c>
      <c r="L26" s="51">
        <v>213481.54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34672.03</v>
      </c>
      <c r="AE26" s="51">
        <v>76260.97</v>
      </c>
      <c r="AF26" s="51">
        <v>0</v>
      </c>
      <c r="AG26" s="51">
        <v>0</v>
      </c>
      <c r="AH26" s="51">
        <v>231178.05</v>
      </c>
      <c r="AI26" s="51">
        <v>0</v>
      </c>
      <c r="AJ26" s="51">
        <v>0</v>
      </c>
      <c r="AK26" s="51">
        <f t="shared" ref="AK26" si="2">SUM(E26:AJ26)</f>
        <v>2856152.4099999997</v>
      </c>
      <c r="AL26" s="51">
        <f>$D$7-SUM(AK$11:AK26)</f>
        <v>10269300.510000005</v>
      </c>
      <c r="AM26" s="46"/>
      <c r="AN26" s="40"/>
    </row>
    <row r="27" spans="1:40" ht="14.5">
      <c r="A27" s="18"/>
      <c r="B27" s="52" t="s">
        <v>192</v>
      </c>
      <c r="C27" s="50">
        <v>44992</v>
      </c>
      <c r="D27" s="50">
        <v>45044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96959.42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f t="shared" ref="AK27:AK32" si="3">SUM(E27:AJ27)</f>
        <v>96959.42</v>
      </c>
      <c r="AL27" s="51">
        <f>$D$7-SUM(AK$11:AK27)</f>
        <v>10172341.090000004</v>
      </c>
      <c r="AM27" s="46"/>
      <c r="AN27" s="40"/>
    </row>
    <row r="28" spans="1:40" ht="14.5">
      <c r="A28" s="18"/>
      <c r="B28" s="52" t="s">
        <v>216</v>
      </c>
      <c r="C28" s="50">
        <v>45061</v>
      </c>
      <c r="D28" s="50">
        <v>45077</v>
      </c>
      <c r="E28" s="51">
        <v>2761004.41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132319.88</v>
      </c>
      <c r="L28" s="51">
        <v>57240.47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332819.08</v>
      </c>
      <c r="AK28" s="51">
        <f t="shared" si="3"/>
        <v>3283383.8400000003</v>
      </c>
      <c r="AL28" s="51">
        <f>$D$7-SUM(AK$11:AK28)</f>
        <v>6888957.25</v>
      </c>
      <c r="AM28" s="46"/>
      <c r="AN28" s="40"/>
    </row>
    <row r="29" spans="1:40" ht="14.5">
      <c r="A29" s="18"/>
      <c r="B29" s="52" t="s">
        <v>213</v>
      </c>
      <c r="C29" s="50">
        <v>45028</v>
      </c>
      <c r="D29" s="50">
        <v>45061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260878.47</v>
      </c>
      <c r="AK29" s="51">
        <f t="shared" si="3"/>
        <v>260878.47</v>
      </c>
      <c r="AL29" s="51">
        <f>$D$7-SUM(AK$11:AK29)</f>
        <v>6628078.7800000012</v>
      </c>
      <c r="AM29" s="46"/>
      <c r="AN29" s="40"/>
    </row>
    <row r="30" spans="1:40" ht="14.5">
      <c r="A30" s="18"/>
      <c r="B30" s="52" t="s">
        <v>223</v>
      </c>
      <c r="C30" s="50">
        <v>45105</v>
      </c>
      <c r="D30" s="50">
        <v>45121</v>
      </c>
      <c r="E30" s="51">
        <v>611650.36</v>
      </c>
      <c r="F30" s="51">
        <v>374925.37</v>
      </c>
      <c r="G30" s="51">
        <v>0</v>
      </c>
      <c r="H30" s="51">
        <v>125620.1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62672.1</v>
      </c>
      <c r="AF30" s="51">
        <v>0</v>
      </c>
      <c r="AG30" s="51">
        <v>0</v>
      </c>
      <c r="AH30" s="51">
        <v>0</v>
      </c>
      <c r="AI30" s="51">
        <v>0</v>
      </c>
      <c r="AJ30" s="51">
        <v>72376.67</v>
      </c>
      <c r="AK30" s="51">
        <f t="shared" si="3"/>
        <v>1247244.6000000001</v>
      </c>
      <c r="AL30" s="51">
        <f>$D$7-SUM(AK$11:AK30)</f>
        <v>5380834.1799999997</v>
      </c>
      <c r="AM30" s="46"/>
      <c r="AN30" s="40"/>
    </row>
    <row r="31" spans="1:40" ht="14.5">
      <c r="A31" s="18"/>
      <c r="B31" s="52" t="s">
        <v>216</v>
      </c>
      <c r="C31" s="50">
        <v>45061</v>
      </c>
      <c r="D31" s="50">
        <v>45138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10865.25</v>
      </c>
      <c r="AJ31" s="51">
        <v>0</v>
      </c>
      <c r="AK31" s="51">
        <f t="shared" si="3"/>
        <v>10865.25</v>
      </c>
      <c r="AL31" s="51">
        <f>$D$7-SUM(AK$11:AK31)</f>
        <v>5369968.9299999997</v>
      </c>
      <c r="AM31" s="46"/>
      <c r="AN31" s="40"/>
    </row>
    <row r="32" spans="1:40" ht="14.5">
      <c r="A32" s="18"/>
      <c r="B32" s="52" t="s">
        <v>224</v>
      </c>
      <c r="C32" s="50">
        <v>45138</v>
      </c>
      <c r="D32" s="50">
        <v>45152</v>
      </c>
      <c r="E32" s="51">
        <v>1582584.33</v>
      </c>
      <c r="F32" s="51">
        <v>0</v>
      </c>
      <c r="G32" s="51">
        <v>0</v>
      </c>
      <c r="H32" s="51">
        <v>0</v>
      </c>
      <c r="I32" s="51">
        <v>0</v>
      </c>
      <c r="J32" s="51">
        <v>71323.56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146383.95000000001</v>
      </c>
      <c r="AH32" s="51">
        <v>0</v>
      </c>
      <c r="AI32" s="51">
        <v>60123.65</v>
      </c>
      <c r="AJ32" s="51">
        <v>201283.66</v>
      </c>
      <c r="AK32" s="51">
        <f t="shared" si="3"/>
        <v>2061699.15</v>
      </c>
      <c r="AL32" s="51">
        <f>$D$7-SUM(AK$11:AK32)</f>
        <v>3308269.7800000012</v>
      </c>
      <c r="AM32" s="46"/>
      <c r="AN32" s="40"/>
    </row>
    <row r="33" spans="1:40" ht="14.5">
      <c r="A33" s="18"/>
      <c r="B33" s="52" t="s">
        <v>231</v>
      </c>
      <c r="C33" s="50">
        <v>45330</v>
      </c>
      <c r="D33" s="50">
        <v>45337</v>
      </c>
      <c r="E33" s="51">
        <v>493900.78</v>
      </c>
      <c r="F33" s="51">
        <v>0</v>
      </c>
      <c r="G33" s="51">
        <v>0</v>
      </c>
      <c r="H33" s="51">
        <v>10668.87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2803700.12</v>
      </c>
      <c r="AK33" s="51">
        <f t="shared" ref="AK33" si="4">SUM(E33:AJ33)</f>
        <v>3308269.77</v>
      </c>
      <c r="AL33" s="51">
        <f>$D$7-SUM(AK$11:AK33)</f>
        <v>9.9999979138374329E-3</v>
      </c>
      <c r="AM33" s="46"/>
      <c r="AN33" s="40"/>
    </row>
    <row r="34" spans="1:40" ht="14.5">
      <c r="A34" s="18"/>
      <c r="B34" s="52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6"/>
      <c r="AN34" s="40"/>
    </row>
    <row r="35" spans="1:40" ht="14.5">
      <c r="A35" s="18"/>
      <c r="B35" s="52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6"/>
      <c r="AN35" s="40"/>
    </row>
    <row r="36" spans="1:40" ht="14.5">
      <c r="A36" s="18"/>
      <c r="B36" s="52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6"/>
      <c r="AN36" s="40"/>
    </row>
    <row r="37" spans="1:40" ht="14.5">
      <c r="A37" s="18"/>
      <c r="B37" s="52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6"/>
      <c r="AN37" s="40"/>
    </row>
    <row r="38" spans="1:40" ht="14.5">
      <c r="A38" s="18"/>
      <c r="B38" s="52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46"/>
      <c r="AN38" s="40"/>
    </row>
    <row r="39" spans="1:40" ht="14.5">
      <c r="A39" s="18"/>
      <c r="B39" s="52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46"/>
      <c r="AN39" s="40"/>
    </row>
    <row r="40" spans="1:40" ht="1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0"/>
      <c r="AN40" s="40"/>
    </row>
    <row r="41" spans="1:40">
      <c r="A41" s="18"/>
      <c r="B41" s="18"/>
      <c r="C41" s="18"/>
      <c r="D41" s="18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18"/>
    </row>
    <row r="42" spans="1:40" ht="16.5">
      <c r="A42" s="18"/>
      <c r="B42" s="13" t="s">
        <v>212</v>
      </c>
      <c r="C42" s="18"/>
      <c r="D42" s="18"/>
      <c r="E42" s="4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40" ht="14.5">
      <c r="A43" s="18"/>
      <c r="E43" s="4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40" ht="14.5">
      <c r="E44" s="4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40" ht="14.5">
      <c r="E45" s="4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</sheetData>
  <mergeCells count="5">
    <mergeCell ref="B9:B10"/>
    <mergeCell ref="C9:C10"/>
    <mergeCell ref="D9:D10"/>
    <mergeCell ref="AL9:AL10"/>
    <mergeCell ref="AK9:AK10"/>
  </mergeCells>
  <phoneticPr fontId="21" type="noConversion"/>
  <hyperlinks>
    <hyperlink ref="G5" r:id="rId1" xr:uid="{D0B53155-151E-4C0E-9D84-DD16FD336C37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A4DD-47AF-4276-8AAC-2D69A4ADBF08}">
  <dimension ref="A2:Z37"/>
  <sheetViews>
    <sheetView showGridLines="0" zoomScale="80" zoomScaleNormal="80" workbookViewId="0">
      <pane xSplit="5" ySplit="10" topLeftCell="F23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G24" sqref="G24"/>
    </sheetView>
  </sheetViews>
  <sheetFormatPr defaultColWidth="8.7265625" defaultRowHeight="13"/>
  <cols>
    <col min="1" max="1" width="3.7265625" style="14" customWidth="1"/>
    <col min="2" max="2" width="15.453125" style="14" customWidth="1"/>
    <col min="3" max="4" width="21.7265625" style="14" customWidth="1"/>
    <col min="5" max="5" width="13.54296875" style="14" bestFit="1" customWidth="1"/>
    <col min="6" max="22" width="22.7265625" style="14" customWidth="1"/>
    <col min="23" max="23" width="23.81640625" style="14" bestFit="1" customWidth="1"/>
    <col min="24" max="24" width="25.1796875" style="14" bestFit="1" customWidth="1"/>
    <col min="25" max="25" width="14" style="14" bestFit="1" customWidth="1"/>
    <col min="26" max="26" width="11.26953125" style="14" bestFit="1" customWidth="1"/>
    <col min="27" max="16384" width="8.7265625" style="14"/>
  </cols>
  <sheetData>
    <row r="2" spans="1:26" ht="24">
      <c r="B2" s="57" t="s">
        <v>14</v>
      </c>
      <c r="C2" s="16"/>
      <c r="D2" s="16"/>
      <c r="E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6" ht="16">
      <c r="A3" s="18"/>
      <c r="B3" s="19"/>
      <c r="C3" s="19"/>
      <c r="D3" s="19"/>
      <c r="E3" s="19"/>
      <c r="F3" s="18"/>
      <c r="G3" s="18"/>
      <c r="H3" s="18"/>
      <c r="I3" s="18"/>
      <c r="J3" s="18"/>
      <c r="K3" s="43"/>
      <c r="L3" s="43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4"/>
    </row>
    <row r="4" spans="1:26" ht="16">
      <c r="A4" s="18"/>
      <c r="B4" s="58" t="s">
        <v>6</v>
      </c>
      <c r="C4" s="59"/>
      <c r="D4" s="58" t="s">
        <v>24</v>
      </c>
      <c r="E4" s="20"/>
      <c r="G4" s="21"/>
      <c r="H4" s="21"/>
      <c r="I4" s="21"/>
      <c r="J4" s="21"/>
      <c r="K4" s="44"/>
      <c r="L4" s="4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6" ht="16">
      <c r="A5" s="18"/>
      <c r="B5" s="58" t="s">
        <v>0</v>
      </c>
      <c r="C5" s="59"/>
      <c r="D5" s="58" t="s">
        <v>22</v>
      </c>
      <c r="E5" s="20"/>
      <c r="G5" s="21"/>
      <c r="H5" s="45" t="s">
        <v>23</v>
      </c>
      <c r="I5" s="21"/>
      <c r="J5" s="21"/>
      <c r="K5" s="44"/>
      <c r="L5" s="4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6" ht="16">
      <c r="A6" s="18"/>
      <c r="B6" s="58"/>
      <c r="C6" s="60"/>
      <c r="D6" s="80" t="s">
        <v>73</v>
      </c>
      <c r="E6" s="20"/>
      <c r="G6" s="21"/>
      <c r="H6" s="88" t="s">
        <v>72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6" ht="16">
      <c r="A7" s="18"/>
      <c r="B7" s="58" t="s">
        <v>1</v>
      </c>
      <c r="C7" s="59"/>
      <c r="D7" s="80">
        <v>210931072.41</v>
      </c>
      <c r="E7" s="25"/>
      <c r="F7" s="21"/>
      <c r="G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6" ht="16">
      <c r="A8" s="18"/>
      <c r="B8" s="21"/>
      <c r="C8" s="21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6" ht="30" customHeight="1">
      <c r="A9" s="27"/>
      <c r="B9" s="90" t="s">
        <v>8</v>
      </c>
      <c r="C9" s="90" t="s">
        <v>15</v>
      </c>
      <c r="D9" s="90" t="s">
        <v>16</v>
      </c>
      <c r="E9" s="90" t="s">
        <v>69</v>
      </c>
      <c r="F9" s="28" t="s">
        <v>55</v>
      </c>
      <c r="G9" s="28" t="s">
        <v>56</v>
      </c>
      <c r="H9" s="28" t="s">
        <v>57</v>
      </c>
      <c r="I9" s="28" t="s">
        <v>58</v>
      </c>
      <c r="J9" s="28" t="s">
        <v>59</v>
      </c>
      <c r="K9" s="28" t="s">
        <v>60</v>
      </c>
      <c r="L9" s="28" t="s">
        <v>61</v>
      </c>
      <c r="M9" s="28" t="s">
        <v>62</v>
      </c>
      <c r="N9" s="28" t="s">
        <v>63</v>
      </c>
      <c r="O9" s="28" t="s">
        <v>64</v>
      </c>
      <c r="P9" s="28" t="s">
        <v>65</v>
      </c>
      <c r="Q9" s="28" t="s">
        <v>66</v>
      </c>
      <c r="R9" s="28" t="s">
        <v>67</v>
      </c>
      <c r="S9" s="28" t="s">
        <v>68</v>
      </c>
      <c r="T9" s="28" t="s">
        <v>78</v>
      </c>
      <c r="U9" s="28" t="s">
        <v>190</v>
      </c>
      <c r="V9" s="28" t="s">
        <v>3</v>
      </c>
      <c r="W9" s="91" t="s">
        <v>2</v>
      </c>
      <c r="X9" s="91" t="s">
        <v>17</v>
      </c>
      <c r="Y9" s="39"/>
      <c r="Z9" s="39"/>
    </row>
    <row r="10" spans="1:26" ht="13.5">
      <c r="A10" s="27"/>
      <c r="B10" s="90"/>
      <c r="C10" s="90"/>
      <c r="D10" s="90"/>
      <c r="E10" s="90"/>
      <c r="F10" s="68" t="s">
        <v>97</v>
      </c>
      <c r="G10" s="68" t="s">
        <v>111</v>
      </c>
      <c r="H10" s="68" t="s">
        <v>110</v>
      </c>
      <c r="I10" s="68" t="s">
        <v>108</v>
      </c>
      <c r="J10" s="68" t="s">
        <v>112</v>
      </c>
      <c r="K10" s="68" t="s">
        <v>113</v>
      </c>
      <c r="L10" s="68" t="s">
        <v>114</v>
      </c>
      <c r="M10" s="68" t="s">
        <v>115</v>
      </c>
      <c r="N10" s="68" t="s">
        <v>116</v>
      </c>
      <c r="O10" s="68" t="s">
        <v>117</v>
      </c>
      <c r="P10" s="68" t="s">
        <v>102</v>
      </c>
      <c r="Q10" s="68" t="s">
        <v>104</v>
      </c>
      <c r="R10" s="68" t="s">
        <v>99</v>
      </c>
      <c r="S10" s="68" t="s">
        <v>103</v>
      </c>
      <c r="T10" s="68" t="s">
        <v>109</v>
      </c>
      <c r="U10" s="68" t="s">
        <v>189</v>
      </c>
      <c r="V10" s="68" t="s">
        <v>91</v>
      </c>
      <c r="W10" s="91"/>
      <c r="X10" s="91"/>
      <c r="Y10" s="39"/>
      <c r="Z10" s="39"/>
    </row>
    <row r="11" spans="1:26" ht="14.5">
      <c r="A11" s="18"/>
      <c r="B11" s="52" t="s">
        <v>181</v>
      </c>
      <c r="C11" s="50">
        <v>44657</v>
      </c>
      <c r="D11" s="50">
        <v>44665</v>
      </c>
      <c r="E11" s="50" t="s">
        <v>70</v>
      </c>
      <c r="F11" s="51">
        <v>10425697</v>
      </c>
      <c r="G11" s="51">
        <v>235226</v>
      </c>
      <c r="H11" s="51">
        <v>5170041.3600000003</v>
      </c>
      <c r="I11" s="51">
        <v>0</v>
      </c>
      <c r="J11" s="51">
        <v>5978194.5300000003</v>
      </c>
      <c r="K11" s="51">
        <v>489383.27</v>
      </c>
      <c r="L11" s="51">
        <v>254705</v>
      </c>
      <c r="M11" s="51">
        <v>1040528.27</v>
      </c>
      <c r="N11" s="51">
        <v>1465241.28</v>
      </c>
      <c r="O11" s="51">
        <v>616708.99</v>
      </c>
      <c r="P11" s="51">
        <v>86000</v>
      </c>
      <c r="Q11" s="51">
        <v>427412.57</v>
      </c>
      <c r="R11" s="51">
        <v>420541.36</v>
      </c>
      <c r="S11" s="51">
        <v>0</v>
      </c>
      <c r="T11" s="51">
        <v>0</v>
      </c>
      <c r="U11" s="51">
        <v>0</v>
      </c>
      <c r="V11" s="51">
        <v>738975.47</v>
      </c>
      <c r="W11" s="51">
        <f>SUM(F11:V11)</f>
        <v>27348655.099999998</v>
      </c>
      <c r="X11" s="51">
        <f>$D$7-SUM(W$11:W11)</f>
        <v>183582417.31</v>
      </c>
      <c r="Y11" s="40"/>
      <c r="Z11" s="40"/>
    </row>
    <row r="12" spans="1:26" ht="14.5">
      <c r="A12" s="18"/>
      <c r="B12" s="52" t="s">
        <v>181</v>
      </c>
      <c r="C12" s="50">
        <v>44657</v>
      </c>
      <c r="D12" s="50">
        <v>44680</v>
      </c>
      <c r="E12" s="50" t="s">
        <v>70</v>
      </c>
      <c r="F12" s="51">
        <v>0</v>
      </c>
      <c r="G12" s="51">
        <v>0</v>
      </c>
      <c r="H12" s="51">
        <v>0</v>
      </c>
      <c r="I12" s="51">
        <v>707426.84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f>SUM(F12:V12)</f>
        <v>707426.84</v>
      </c>
      <c r="X12" s="51">
        <f>$D$7-SUM(W$11:W12)</f>
        <v>182874990.47</v>
      </c>
      <c r="Y12" s="40"/>
      <c r="Z12" s="40"/>
    </row>
    <row r="13" spans="1:26" ht="14.5">
      <c r="A13" s="18"/>
      <c r="B13" s="52" t="s">
        <v>182</v>
      </c>
      <c r="C13" s="50">
        <v>44670</v>
      </c>
      <c r="D13" s="50">
        <v>44680</v>
      </c>
      <c r="E13" s="50" t="s">
        <v>71</v>
      </c>
      <c r="F13" s="51">
        <v>502435.75</v>
      </c>
      <c r="G13" s="51">
        <v>0</v>
      </c>
      <c r="H13" s="51">
        <v>0</v>
      </c>
      <c r="I13" s="51">
        <v>115175.5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213706.28</v>
      </c>
      <c r="R13" s="51">
        <v>420541.36</v>
      </c>
      <c r="S13" s="51">
        <v>243585.85</v>
      </c>
      <c r="T13" s="51">
        <v>0</v>
      </c>
      <c r="U13" s="51">
        <v>0</v>
      </c>
      <c r="V13" s="51">
        <v>40472.129999999997</v>
      </c>
      <c r="W13" s="51">
        <f>SUM(F13:V13)</f>
        <v>1535916.87</v>
      </c>
      <c r="X13" s="51">
        <f>$D$7-SUM(W$11:W13)</f>
        <v>181339073.59999999</v>
      </c>
      <c r="Y13" s="40"/>
      <c r="Z13" s="40"/>
    </row>
    <row r="14" spans="1:26" ht="14.5">
      <c r="A14" s="18"/>
      <c r="B14" s="52" t="s">
        <v>183</v>
      </c>
      <c r="C14" s="50">
        <v>44701</v>
      </c>
      <c r="D14" s="50">
        <v>44712</v>
      </c>
      <c r="E14" s="50" t="s">
        <v>79</v>
      </c>
      <c r="F14" s="51">
        <v>513974.19</v>
      </c>
      <c r="G14" s="51">
        <v>0</v>
      </c>
      <c r="H14" s="51">
        <v>11136236.91</v>
      </c>
      <c r="I14" s="51">
        <v>276233.40000000002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267654.2</v>
      </c>
      <c r="U14" s="51">
        <v>0</v>
      </c>
      <c r="V14" s="51">
        <v>51782.37</v>
      </c>
      <c r="W14" s="51">
        <f>SUM(F14:V14)</f>
        <v>12245881.069999998</v>
      </c>
      <c r="X14" s="51">
        <f>$D$7-SUM(W$11:W14)</f>
        <v>169093192.53</v>
      </c>
      <c r="Y14" s="46"/>
      <c r="Z14" s="40"/>
    </row>
    <row r="15" spans="1:26" ht="14.5">
      <c r="A15" s="18"/>
      <c r="B15" s="52" t="s">
        <v>184</v>
      </c>
      <c r="C15" s="50">
        <v>44750</v>
      </c>
      <c r="D15" s="50">
        <v>44756</v>
      </c>
      <c r="E15" s="50" t="s">
        <v>83</v>
      </c>
      <c r="F15" s="51">
        <v>959471.72</v>
      </c>
      <c r="G15" s="51">
        <v>0</v>
      </c>
      <c r="H15" s="51">
        <v>0</v>
      </c>
      <c r="I15" s="51">
        <v>0</v>
      </c>
      <c r="J15" s="51">
        <v>0</v>
      </c>
      <c r="K15" s="51"/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36406.6</v>
      </c>
      <c r="W15" s="51">
        <f>SUM(F15:V15)</f>
        <v>995878.32</v>
      </c>
      <c r="X15" s="51">
        <f>$D$7-SUM(W$11:W15)</f>
        <v>168097314.21000001</v>
      </c>
      <c r="Y15" s="46"/>
      <c r="Z15" s="40"/>
    </row>
    <row r="16" spans="1:26" ht="14.5">
      <c r="A16" s="18"/>
      <c r="B16" s="52" t="s">
        <v>185</v>
      </c>
      <c r="C16" s="50">
        <v>44781</v>
      </c>
      <c r="D16" s="50">
        <v>44785</v>
      </c>
      <c r="E16" s="50" t="s">
        <v>70</v>
      </c>
      <c r="F16" s="51">
        <f>10810697-F11-385000</f>
        <v>0</v>
      </c>
      <c r="G16" s="51">
        <v>0</v>
      </c>
      <c r="H16" s="51">
        <v>0</v>
      </c>
      <c r="I16" s="51">
        <v>0</v>
      </c>
      <c r="J16" s="51">
        <v>0</v>
      </c>
      <c r="K16" s="53">
        <f>489383.27-K11</f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4">
        <f>738975.47-V11</f>
        <v>0</v>
      </c>
      <c r="W16" s="51">
        <f t="shared" ref="W16" si="0">SUM(F16:V16)</f>
        <v>0</v>
      </c>
      <c r="X16" s="51">
        <f>$D$7-SUM(W$11:W16)</f>
        <v>168097314.21000001</v>
      </c>
      <c r="Y16" s="46"/>
      <c r="Z16" s="40"/>
    </row>
    <row r="17" spans="1:26" ht="14.5">
      <c r="A17" s="18"/>
      <c r="B17" s="52" t="s">
        <v>186</v>
      </c>
      <c r="C17" s="50">
        <v>44820</v>
      </c>
      <c r="D17" s="50">
        <v>44834</v>
      </c>
      <c r="E17" s="50" t="s">
        <v>124</v>
      </c>
      <c r="F17" s="51">
        <v>2655596.67</v>
      </c>
      <c r="G17" s="51">
        <v>0</v>
      </c>
      <c r="H17" s="51">
        <v>0</v>
      </c>
      <c r="I17" s="51">
        <v>115844.89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616708.99</v>
      </c>
      <c r="P17" s="51">
        <v>32313.599999999999</v>
      </c>
      <c r="Q17" s="51">
        <v>0</v>
      </c>
      <c r="R17" s="51">
        <v>0</v>
      </c>
      <c r="S17" s="51">
        <v>57946.21</v>
      </c>
      <c r="T17" s="51">
        <v>0</v>
      </c>
      <c r="U17" s="51">
        <v>0</v>
      </c>
      <c r="V17" s="51">
        <v>181612.85</v>
      </c>
      <c r="W17" s="51">
        <f t="shared" ref="W17" si="1">SUM(F17:V17)</f>
        <v>3660023.21</v>
      </c>
      <c r="X17" s="51">
        <f>$D$7-SUM(W$11:W17)</f>
        <v>164437291</v>
      </c>
      <c r="Y17" s="46"/>
      <c r="Z17" s="40"/>
    </row>
    <row r="18" spans="1:26" ht="14.5">
      <c r="A18" s="18"/>
      <c r="B18" s="52" t="s">
        <v>187</v>
      </c>
      <c r="C18" s="50">
        <v>44925</v>
      </c>
      <c r="D18" s="50">
        <v>44939</v>
      </c>
      <c r="E18" s="50" t="s">
        <v>188</v>
      </c>
      <c r="F18" s="51">
        <v>3614488.34</v>
      </c>
      <c r="G18" s="51">
        <v>0</v>
      </c>
      <c r="H18" s="51">
        <v>0</v>
      </c>
      <c r="I18" s="51">
        <v>155053.32</v>
      </c>
      <c r="J18" s="51">
        <v>0</v>
      </c>
      <c r="K18" s="51">
        <v>0</v>
      </c>
      <c r="L18" s="51">
        <v>0</v>
      </c>
      <c r="M18" s="51">
        <v>0</v>
      </c>
      <c r="N18" s="51">
        <v>92865.600000000006</v>
      </c>
      <c r="O18" s="51">
        <v>616708.99</v>
      </c>
      <c r="P18" s="51">
        <v>290186.40000000002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437376.59</v>
      </c>
      <c r="W18" s="51">
        <f t="shared" ref="W18:W24" si="2">SUM(F18:V18)</f>
        <v>5206679.24</v>
      </c>
      <c r="X18" s="51">
        <f>$D$7-SUM(W$11:W18)</f>
        <v>159230611.75999999</v>
      </c>
      <c r="Y18" s="46"/>
      <c r="Z18" s="40"/>
    </row>
    <row r="19" spans="1:26" ht="14.5">
      <c r="A19" s="18"/>
      <c r="B19" s="52" t="s">
        <v>220</v>
      </c>
      <c r="C19" s="50">
        <v>45068</v>
      </c>
      <c r="D19" s="50">
        <v>45077</v>
      </c>
      <c r="E19" s="50" t="s">
        <v>219</v>
      </c>
      <c r="F19" s="51">
        <v>7322097.5700000003</v>
      </c>
      <c r="G19" s="51">
        <v>0</v>
      </c>
      <c r="H19" s="51">
        <v>0</v>
      </c>
      <c r="I19" s="51">
        <v>0</v>
      </c>
      <c r="J19" s="51">
        <v>8032514.6100000003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12351.31</v>
      </c>
      <c r="V19" s="51">
        <v>892665.16</v>
      </c>
      <c r="W19" s="51">
        <f t="shared" si="2"/>
        <v>16259628.65</v>
      </c>
      <c r="X19" s="51">
        <f>$D$7-SUM(W$11:W19)</f>
        <v>142970983.11000001</v>
      </c>
      <c r="Y19" s="46"/>
      <c r="Z19" s="40"/>
    </row>
    <row r="20" spans="1:26" ht="14.5">
      <c r="A20" s="18"/>
      <c r="B20" s="52" t="s">
        <v>221</v>
      </c>
      <c r="C20" s="50">
        <v>45068</v>
      </c>
      <c r="D20" s="50">
        <v>45077</v>
      </c>
      <c r="E20" s="50" t="s">
        <v>222</v>
      </c>
      <c r="F20" s="51">
        <v>809529.19</v>
      </c>
      <c r="G20" s="51">
        <v>0</v>
      </c>
      <c r="H20" s="51">
        <v>0</v>
      </c>
      <c r="I20" s="51">
        <v>126171.03</v>
      </c>
      <c r="J20" s="51">
        <v>892503.1</v>
      </c>
      <c r="K20" s="51">
        <v>0</v>
      </c>
      <c r="L20" s="51">
        <v>0</v>
      </c>
      <c r="M20" s="51">
        <v>0</v>
      </c>
      <c r="N20" s="51">
        <v>0</v>
      </c>
      <c r="O20" s="51">
        <v>4270000</v>
      </c>
      <c r="P20" s="51">
        <v>0</v>
      </c>
      <c r="Q20" s="51">
        <v>0</v>
      </c>
      <c r="R20" s="51">
        <v>0</v>
      </c>
      <c r="S20" s="51">
        <v>0</v>
      </c>
      <c r="T20" s="51">
        <v>267654.2</v>
      </c>
      <c r="U20" s="51">
        <v>173288.33</v>
      </c>
      <c r="V20" s="51">
        <v>24248.17</v>
      </c>
      <c r="W20" s="51">
        <f t="shared" si="2"/>
        <v>6563394.0200000005</v>
      </c>
      <c r="X20" s="51">
        <f>$D$7-SUM(W$11:W20)</f>
        <v>136407589.09</v>
      </c>
      <c r="Y20" s="46"/>
      <c r="Z20" s="40"/>
    </row>
    <row r="21" spans="1:26" ht="14.5">
      <c r="A21" s="18"/>
      <c r="B21" s="52" t="s">
        <v>229</v>
      </c>
      <c r="C21" s="50">
        <v>45315</v>
      </c>
      <c r="D21" s="50">
        <v>45322</v>
      </c>
      <c r="E21" s="50" t="s">
        <v>230</v>
      </c>
      <c r="F21" s="51">
        <v>600217.04</v>
      </c>
      <c r="G21" s="51">
        <v>281903.39</v>
      </c>
      <c r="H21" s="51"/>
      <c r="I21" s="51">
        <v>51943.62</v>
      </c>
      <c r="J21" s="51">
        <v>5561495.0999999996</v>
      </c>
      <c r="K21" s="51">
        <v>191831.67999999999</v>
      </c>
      <c r="L21" s="51"/>
      <c r="M21" s="51"/>
      <c r="N21" s="51"/>
      <c r="O21" s="51">
        <v>387617.12</v>
      </c>
      <c r="P21" s="51">
        <v>21500</v>
      </c>
      <c r="Q21" s="51"/>
      <c r="R21" s="51"/>
      <c r="S21" s="51"/>
      <c r="T21" s="51">
        <v>2402697.54</v>
      </c>
      <c r="U21" s="51">
        <v>104637.91</v>
      </c>
      <c r="V21" s="51">
        <v>75485.149999999994</v>
      </c>
      <c r="W21" s="51">
        <f t="shared" si="2"/>
        <v>9679328.5499999989</v>
      </c>
      <c r="X21" s="51">
        <f>$D$7-SUM(W$11:W21)</f>
        <v>126728260.54000001</v>
      </c>
      <c r="Y21" s="46"/>
      <c r="Z21" s="40"/>
    </row>
    <row r="22" spans="1:26" ht="14.5">
      <c r="A22" s="18"/>
      <c r="B22" s="52" t="s">
        <v>232</v>
      </c>
      <c r="C22" s="50">
        <v>45369</v>
      </c>
      <c r="D22" s="50">
        <v>45379</v>
      </c>
      <c r="E22" s="50" t="s">
        <v>233</v>
      </c>
      <c r="F22" s="51">
        <v>189851.76</v>
      </c>
      <c r="G22" s="51">
        <v>0</v>
      </c>
      <c r="H22" s="51">
        <v>0</v>
      </c>
      <c r="I22" s="51">
        <v>0</v>
      </c>
      <c r="J22" s="51">
        <v>0</v>
      </c>
      <c r="K22" s="51">
        <v>230198.02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38310.31</v>
      </c>
      <c r="W22" s="51">
        <f t="shared" si="2"/>
        <v>458360.09</v>
      </c>
      <c r="X22" s="51">
        <f>$D$7-SUM(W$11:W22)</f>
        <v>126269900.45</v>
      </c>
      <c r="Y22" s="46"/>
      <c r="Z22" s="40"/>
    </row>
    <row r="23" spans="1:26" ht="14.5">
      <c r="A23" s="18"/>
      <c r="B23" s="52" t="s">
        <v>234</v>
      </c>
      <c r="C23" s="50">
        <v>45429</v>
      </c>
      <c r="D23" s="50">
        <v>45441</v>
      </c>
      <c r="E23" s="50" t="s">
        <v>235</v>
      </c>
      <c r="F23" s="51">
        <v>75787.11</v>
      </c>
      <c r="G23" s="51">
        <v>0</v>
      </c>
      <c r="H23" s="51">
        <v>0</v>
      </c>
      <c r="I23" s="51">
        <v>0</v>
      </c>
      <c r="J23" s="51">
        <v>0</v>
      </c>
      <c r="K23" s="51">
        <v>153465.34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707785.49</v>
      </c>
      <c r="V23" s="51">
        <v>19327.97</v>
      </c>
      <c r="W23" s="51">
        <f t="shared" si="2"/>
        <v>956365.90999999992</v>
      </c>
      <c r="X23" s="51">
        <f>$D$7-SUM(W$11:W23)</f>
        <v>125313534.54000001</v>
      </c>
      <c r="Y23" s="46"/>
      <c r="Z23" s="40"/>
    </row>
    <row r="24" spans="1:26" ht="14.5">
      <c r="A24" s="18"/>
      <c r="B24" s="52" t="s">
        <v>237</v>
      </c>
      <c r="C24" s="50">
        <v>45457</v>
      </c>
      <c r="D24" s="50">
        <v>45471</v>
      </c>
      <c r="E24" s="50" t="s">
        <v>236</v>
      </c>
      <c r="F24" s="51">
        <v>151574.22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18542.740000000002</v>
      </c>
      <c r="W24" s="51">
        <f t="shared" si="2"/>
        <v>170116.96</v>
      </c>
      <c r="X24" s="51">
        <f>$D$7-SUM(W$11:W24)</f>
        <v>125143417.58000001</v>
      </c>
      <c r="Y24" s="46"/>
      <c r="Z24" s="40"/>
    </row>
    <row r="25" spans="1:26" ht="14.5">
      <c r="A25" s="18"/>
      <c r="B25" s="52" t="s">
        <v>238</v>
      </c>
      <c r="C25" s="50">
        <v>45506</v>
      </c>
      <c r="D25" s="50">
        <v>45518</v>
      </c>
      <c r="E25" s="50" t="s">
        <v>239</v>
      </c>
      <c r="F25" s="51">
        <v>75787.11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9271.3700000000008</v>
      </c>
      <c r="W25" s="51">
        <f t="shared" ref="W25:W26" si="3">SUM(F25:V25)</f>
        <v>85058.48</v>
      </c>
      <c r="X25" s="51">
        <f>$D$7-SUM(W$11:W25)</f>
        <v>125058359.10000001</v>
      </c>
      <c r="Y25" s="46"/>
      <c r="Z25" s="40"/>
    </row>
    <row r="26" spans="1:26" ht="14.5">
      <c r="A26" s="18"/>
      <c r="B26" s="52" t="s">
        <v>241</v>
      </c>
      <c r="C26" s="50">
        <v>45523</v>
      </c>
      <c r="D26" s="50">
        <v>45534</v>
      </c>
      <c r="E26" s="50" t="s">
        <v>240</v>
      </c>
      <c r="F26" s="51">
        <v>75787.11</v>
      </c>
      <c r="G26" s="51">
        <v>0</v>
      </c>
      <c r="H26" s="51">
        <v>0</v>
      </c>
      <c r="I26" s="51">
        <v>0</v>
      </c>
      <c r="J26" s="51">
        <v>0</v>
      </c>
      <c r="K26" s="51">
        <v>191831.67999999999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21842.12</v>
      </c>
      <c r="W26" s="51">
        <f t="shared" si="3"/>
        <v>289460.90999999997</v>
      </c>
      <c r="X26" s="51">
        <f>$D$7-SUM(W$11:W26)</f>
        <v>124768898.19000001</v>
      </c>
      <c r="Y26" s="46"/>
      <c r="Z26" s="40"/>
    </row>
    <row r="27" spans="1:26" ht="14.5">
      <c r="A27" s="18"/>
      <c r="B27" s="52" t="s">
        <v>243</v>
      </c>
      <c r="C27" s="50">
        <v>45546</v>
      </c>
      <c r="D27" s="50">
        <v>45565</v>
      </c>
      <c r="E27" s="50" t="s">
        <v>242</v>
      </c>
      <c r="F27" s="51">
        <v>85680.92</v>
      </c>
      <c r="G27" s="51">
        <v>0</v>
      </c>
      <c r="H27" s="51">
        <v>0</v>
      </c>
      <c r="I27" s="51">
        <v>31627.45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11343.92</v>
      </c>
      <c r="W27" s="51">
        <f t="shared" ref="W27:W31" si="4">SUM(F27:V27)</f>
        <v>128652.29</v>
      </c>
      <c r="X27" s="51">
        <f>$D$7-SUM(W$11:W27)</f>
        <v>124640245.90000001</v>
      </c>
      <c r="Y27" s="46"/>
      <c r="Z27" s="40"/>
    </row>
    <row r="28" spans="1:26" ht="14.5">
      <c r="A28" s="18"/>
      <c r="B28" s="52" t="s">
        <v>244</v>
      </c>
      <c r="C28" s="50">
        <v>45579</v>
      </c>
      <c r="D28" s="50">
        <v>45596</v>
      </c>
      <c r="E28" s="50" t="s">
        <v>245</v>
      </c>
      <c r="F28" s="51">
        <v>75787.11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9271.3700000000008</v>
      </c>
      <c r="W28" s="51">
        <f t="shared" si="4"/>
        <v>85058.48</v>
      </c>
      <c r="X28" s="51">
        <f>$D$7-SUM(W$11:W28)</f>
        <v>124555187.42</v>
      </c>
      <c r="Y28" s="46"/>
      <c r="Z28" s="40"/>
    </row>
    <row r="29" spans="1:26" ht="14.5">
      <c r="A29" s="18"/>
      <c r="B29" s="52" t="s">
        <v>246</v>
      </c>
      <c r="C29" s="50">
        <v>45607</v>
      </c>
      <c r="D29" s="50">
        <v>45625</v>
      </c>
      <c r="E29" s="50" t="s">
        <v>247</v>
      </c>
      <c r="F29" s="51">
        <v>75787.11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9271.3700000000008</v>
      </c>
      <c r="W29" s="51">
        <f t="shared" si="4"/>
        <v>85058.48</v>
      </c>
      <c r="X29" s="51">
        <f>$D$7-SUM(W$11:W29)</f>
        <v>124470128.94</v>
      </c>
      <c r="Y29" s="46"/>
      <c r="Z29" s="40"/>
    </row>
    <row r="30" spans="1:26" ht="14.5">
      <c r="A30" s="18"/>
      <c r="B30" s="52" t="s">
        <v>249</v>
      </c>
      <c r="C30" s="50">
        <v>45657</v>
      </c>
      <c r="D30" s="50">
        <v>45672</v>
      </c>
      <c r="E30" s="50" t="s">
        <v>248</v>
      </c>
      <c r="F30" s="51">
        <v>75787.11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9271.3700000000008</v>
      </c>
      <c r="W30" s="51">
        <f t="shared" si="4"/>
        <v>85058.48</v>
      </c>
      <c r="X30" s="51">
        <f>$D$7-SUM(W$11:W30)</f>
        <v>124385070.45999999</v>
      </c>
      <c r="Y30" s="46"/>
      <c r="Z30" s="40"/>
    </row>
    <row r="31" spans="1:26" ht="14.5">
      <c r="A31" s="18"/>
      <c r="B31" s="52" t="s">
        <v>250</v>
      </c>
      <c r="C31" s="50">
        <v>45679</v>
      </c>
      <c r="D31" s="50">
        <v>45688</v>
      </c>
      <c r="E31" s="50" t="s">
        <v>251</v>
      </c>
      <c r="F31" s="51">
        <v>76555.100000000006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9365.32</v>
      </c>
      <c r="W31" s="51">
        <f t="shared" si="4"/>
        <v>85920.420000000013</v>
      </c>
      <c r="X31" s="51">
        <f>$D$7-SUM(W$11:W31)</f>
        <v>124299150.03999999</v>
      </c>
      <c r="Y31" s="46"/>
      <c r="Z31" s="40"/>
    </row>
    <row r="32" spans="1:26" ht="15">
      <c r="A32" s="18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40"/>
      <c r="Z32" s="40"/>
    </row>
    <row r="33" spans="1:25">
      <c r="A33" s="18"/>
      <c r="B33" s="18"/>
      <c r="C33" s="18"/>
      <c r="D33" s="18"/>
      <c r="E33" s="18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8"/>
    </row>
    <row r="34" spans="1:25" ht="14.5">
      <c r="A34" s="18"/>
      <c r="B34" s="18"/>
      <c r="C34" s="18"/>
      <c r="D34" s="18"/>
      <c r="E34" s="18"/>
      <c r="F34" s="42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4.5">
      <c r="A35" s="18"/>
      <c r="F35" s="42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4.5">
      <c r="F36" s="4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5" ht="14.5">
      <c r="F37" s="42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</sheetData>
  <mergeCells count="6">
    <mergeCell ref="X9:X10"/>
    <mergeCell ref="B9:B10"/>
    <mergeCell ref="C9:C10"/>
    <mergeCell ref="D9:D10"/>
    <mergeCell ref="E9:E10"/>
    <mergeCell ref="W9:W10"/>
  </mergeCells>
  <phoneticPr fontId="21" type="noConversion"/>
  <hyperlinks>
    <hyperlink ref="H5" r:id="rId1" xr:uid="{E174FC6D-BFD2-482D-946B-CA2CE4C34695}"/>
    <hyperlink ref="H6" r:id="rId2" xr:uid="{837B3A1C-46C4-4E1B-B908-503662225DA8}"/>
  </hyperlinks>
  <pageMargins left="0.511811024" right="0.511811024" top="0.78740157499999996" bottom="0.78740157499999996" header="0.31496062000000002" footer="0.31496062000000002"/>
  <pageSetup paperSize="9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2:T56"/>
  <sheetViews>
    <sheetView showGridLines="0" zoomScale="90" zoomScaleNormal="90" workbookViewId="0">
      <pane xSplit="4" ySplit="12" topLeftCell="F45" activePane="bottomRight" state="frozen"/>
      <selection pane="topRight" activeCell="E1" sqref="E1"/>
      <selection pane="bottomLeft" activeCell="A13" sqref="A13"/>
      <selection pane="bottomRight" activeCell="H63" sqref="H63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10" width="22.7265625" style="14" customWidth="1"/>
    <col min="11" max="11" width="5.26953125" style="14" bestFit="1" customWidth="1"/>
    <col min="12" max="14" width="13.7265625" style="14" customWidth="1"/>
    <col min="15" max="20" width="23.54296875" style="14" customWidth="1"/>
    <col min="21" max="23" width="19.26953125" style="14" customWidth="1"/>
    <col min="24" max="16384" width="8.7265625" style="14"/>
  </cols>
  <sheetData>
    <row r="2" spans="1:20" ht="24">
      <c r="B2" s="57" t="s">
        <v>14</v>
      </c>
      <c r="C2" s="15"/>
      <c r="D2" s="16"/>
      <c r="E2" s="16"/>
      <c r="F2" s="16"/>
      <c r="G2" s="16"/>
      <c r="H2" s="15"/>
      <c r="I2" s="15"/>
      <c r="J2" s="15"/>
    </row>
    <row r="3" spans="1:20" ht="16">
      <c r="A3" s="18"/>
      <c r="B3" s="19"/>
      <c r="C3" s="19"/>
      <c r="D3" s="19"/>
      <c r="E3" s="19"/>
      <c r="F3" s="19"/>
      <c r="G3" s="19"/>
      <c r="H3" s="19"/>
      <c r="I3" s="19"/>
      <c r="J3" s="19"/>
      <c r="K3" s="34"/>
    </row>
    <row r="4" spans="1:20" ht="16">
      <c r="A4" s="18"/>
      <c r="B4" s="58" t="s">
        <v>6</v>
      </c>
      <c r="C4" s="59"/>
      <c r="D4" s="58" t="s">
        <v>30</v>
      </c>
      <c r="E4" s="20"/>
      <c r="F4" s="20"/>
      <c r="G4" s="16"/>
      <c r="H4" s="20"/>
      <c r="I4" s="20"/>
      <c r="J4" s="20"/>
      <c r="K4" s="21"/>
    </row>
    <row r="5" spans="1:20" ht="16">
      <c r="A5" s="18"/>
      <c r="B5" s="58" t="s">
        <v>0</v>
      </c>
      <c r="C5" s="59"/>
      <c r="D5" s="58" t="s">
        <v>33</v>
      </c>
      <c r="E5" s="20"/>
      <c r="F5" s="20"/>
      <c r="G5" s="16"/>
      <c r="H5" s="20"/>
      <c r="I5" s="20"/>
      <c r="J5" s="20"/>
      <c r="K5" s="21"/>
    </row>
    <row r="6" spans="1:20" ht="16">
      <c r="A6" s="18"/>
      <c r="B6" s="58" t="s">
        <v>1</v>
      </c>
      <c r="C6" s="60"/>
      <c r="D6" s="81" t="s">
        <v>6</v>
      </c>
      <c r="E6" s="81" t="s">
        <v>54</v>
      </c>
      <c r="F6" s="81" t="s">
        <v>52</v>
      </c>
      <c r="G6" s="81" t="s">
        <v>53</v>
      </c>
      <c r="H6" s="20"/>
      <c r="I6" s="23"/>
      <c r="J6" s="20"/>
      <c r="K6" s="21"/>
    </row>
    <row r="7" spans="1:20" ht="16">
      <c r="A7" s="18"/>
      <c r="B7" s="20"/>
      <c r="C7" s="20"/>
      <c r="D7" s="82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35"/>
      <c r="K7" s="21"/>
    </row>
    <row r="8" spans="1:20" ht="16">
      <c r="A8" s="18"/>
      <c r="B8" s="20"/>
      <c r="C8" s="20"/>
      <c r="D8" s="82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35"/>
      <c r="K8" s="21"/>
    </row>
    <row r="9" spans="1:20" ht="16">
      <c r="A9" s="18"/>
      <c r="B9" s="20"/>
      <c r="C9" s="20"/>
      <c r="D9" s="82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36"/>
      <c r="K9" s="21"/>
    </row>
    <row r="10" spans="1:20" ht="16">
      <c r="A10" s="18"/>
      <c r="B10" s="20"/>
      <c r="C10" s="20"/>
      <c r="D10" s="58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0"/>
      <c r="K10" s="21"/>
    </row>
    <row r="11" spans="1:20" ht="16">
      <c r="A11" s="18"/>
      <c r="B11" s="21"/>
      <c r="C11" s="21"/>
      <c r="D11" s="26"/>
      <c r="E11" s="26"/>
      <c r="F11" s="37"/>
      <c r="G11" s="21"/>
      <c r="H11" s="21"/>
      <c r="I11" s="21"/>
      <c r="J11" s="21"/>
      <c r="K11" s="21"/>
      <c r="O11" s="38" t="s">
        <v>121</v>
      </c>
      <c r="P11" s="38"/>
      <c r="Q11" s="38"/>
      <c r="R11" s="38" t="s">
        <v>122</v>
      </c>
      <c r="S11" s="38"/>
      <c r="T11" s="38"/>
    </row>
    <row r="12" spans="1:20" ht="40.5">
      <c r="A12" s="27"/>
      <c r="B12" s="68" t="s">
        <v>35</v>
      </c>
      <c r="C12" s="68" t="s">
        <v>16</v>
      </c>
      <c r="D12" s="68" t="s">
        <v>36</v>
      </c>
      <c r="E12" s="68" t="s">
        <v>34</v>
      </c>
      <c r="F12" s="68" t="s">
        <v>37</v>
      </c>
      <c r="G12" s="68" t="s">
        <v>38</v>
      </c>
      <c r="H12" s="68" t="s">
        <v>39</v>
      </c>
      <c r="I12" s="68" t="s">
        <v>150</v>
      </c>
      <c r="J12" s="68" t="s">
        <v>17</v>
      </c>
      <c r="K12" s="39"/>
      <c r="L12" s="69" t="s">
        <v>40</v>
      </c>
      <c r="M12" s="69" t="s">
        <v>41</v>
      </c>
      <c r="N12" s="69" t="s">
        <v>42</v>
      </c>
      <c r="O12" s="69" t="s">
        <v>29</v>
      </c>
      <c r="P12" s="69" t="s">
        <v>31</v>
      </c>
      <c r="Q12" s="69" t="s">
        <v>32</v>
      </c>
      <c r="R12" s="69" t="s">
        <v>29</v>
      </c>
      <c r="S12" s="69" t="s">
        <v>31</v>
      </c>
      <c r="T12" s="69" t="s">
        <v>32</v>
      </c>
    </row>
    <row r="13" spans="1:20">
      <c r="A13" s="18"/>
      <c r="B13" s="61">
        <v>44657</v>
      </c>
      <c r="C13" s="61">
        <v>44665</v>
      </c>
      <c r="D13" s="62" t="s">
        <v>29</v>
      </c>
      <c r="E13" s="63">
        <v>0.17</v>
      </c>
      <c r="F13" s="64">
        <f t="shared" ref="F13:F32" si="1">VLOOKUP(E13,$L$13:$N$21,2,TRUE)</f>
        <v>0.1</v>
      </c>
      <c r="G13" s="64">
        <f t="shared" ref="G13:G32" si="2">VLOOKUP(E13,$L$13:$N$21,3,TRUE)</f>
        <v>0.1</v>
      </c>
      <c r="H13" s="85">
        <v>5625056.6500000004</v>
      </c>
      <c r="I13" s="85">
        <f>SUMIF(D$13:D13,D13,H$13:H13)</f>
        <v>5625056.6500000004</v>
      </c>
      <c r="J13" s="85">
        <f>VLOOKUP(D13,$D$7:$E$9,2,0)-SUMIF(D$13:D13,D13,H$13:H13)</f>
        <v>51480307.380000003</v>
      </c>
      <c r="K13" s="70" t="str">
        <f>IF(D13="","",IF(SUMIF(D$13:D13,D13,H$13:H13)&lt;=IF(D13="Silves",VLOOKUP($F13,$M$13:$T$21,6,0),IF(D13="Itapiranga",VLOOKUP($F13,$M$13:$T$21,7,0),VLOOKUP($F13,$M$13:$T$21,8,0))),"ok","verificar"))</f>
        <v>ok</v>
      </c>
      <c r="L13" s="65">
        <v>0.17</v>
      </c>
      <c r="M13" s="65">
        <v>0.1</v>
      </c>
      <c r="N13" s="65">
        <f>M13</f>
        <v>0.1</v>
      </c>
      <c r="O13" s="83">
        <f>N13*$E$9</f>
        <v>5710536.4030000009</v>
      </c>
      <c r="P13" s="83">
        <f>$E$7*N13</f>
        <v>5262871.063000001</v>
      </c>
      <c r="Q13" s="83">
        <f>N13*$E$8</f>
        <v>8221119.3420000002</v>
      </c>
      <c r="R13" s="83">
        <f>SUM(O$13:O13)</f>
        <v>5710536.4030000009</v>
      </c>
      <c r="S13" s="83">
        <f>SUM(P$13:P13)</f>
        <v>5262871.063000001</v>
      </c>
      <c r="T13" s="83">
        <f>SUM(Q$13:Q13)</f>
        <v>8221119.3420000002</v>
      </c>
    </row>
    <row r="14" spans="1:20">
      <c r="A14" s="18"/>
      <c r="B14" s="61">
        <v>44691</v>
      </c>
      <c r="C14" s="61">
        <v>44694</v>
      </c>
      <c r="D14" s="62" t="s">
        <v>32</v>
      </c>
      <c r="E14" s="63">
        <v>0.27400000000000002</v>
      </c>
      <c r="F14" s="64">
        <f t="shared" si="1"/>
        <v>0.1</v>
      </c>
      <c r="G14" s="64">
        <f t="shared" si="2"/>
        <v>0.1</v>
      </c>
      <c r="H14" s="85">
        <v>7670523.4800000004</v>
      </c>
      <c r="I14" s="85">
        <f>SUMIF(D$13:D14,D14,H$13:H14)</f>
        <v>7670523.4800000004</v>
      </c>
      <c r="J14" s="85">
        <f>VLOOKUP(D14,$D$7:$E$9,2,0)-SUMIF(D$13:D14,D14,H$13:H14)</f>
        <v>74540669.939999998</v>
      </c>
      <c r="K14" s="70" t="str">
        <f>IF(D14="","",IF(SUMIF(D$13:D14,D14,H$13:H14)&lt;=IF(D14="Silves",VLOOKUP($F14,$M$13:$T$21,6,0),IF(D14="Itapiranga",VLOOKUP($F14,$M$13:$T$21,7,0),VLOOKUP($F14,$M$13:$T$21,8,0))),"ok","verificar"))</f>
        <v>ok</v>
      </c>
      <c r="L14" s="65">
        <v>0.4</v>
      </c>
      <c r="M14" s="65">
        <v>0.22</v>
      </c>
      <c r="N14" s="65">
        <f>M14-SUM(N$13:N13)</f>
        <v>0.12</v>
      </c>
      <c r="O14" s="83">
        <f t="shared" ref="O14:O20" si="3">N14*$E$9</f>
        <v>6852643.6836000001</v>
      </c>
      <c r="P14" s="83">
        <f t="shared" ref="P14:P20" si="4">$E$7*N14</f>
        <v>6315445.2756000003</v>
      </c>
      <c r="Q14" s="83">
        <f t="shared" ref="Q14:Q20" si="5">N14*$E$8</f>
        <v>9865343.2104000002</v>
      </c>
      <c r="R14" s="83">
        <f>SUM(O$13:O14)</f>
        <v>12563180.086600002</v>
      </c>
      <c r="S14" s="83">
        <f>SUM(P$13:P14)</f>
        <v>11578316.338600002</v>
      </c>
      <c r="T14" s="83">
        <f>SUM(Q$13:Q14)</f>
        <v>18086462.5524</v>
      </c>
    </row>
    <row r="15" spans="1:20">
      <c r="A15" s="18"/>
      <c r="B15" s="61">
        <v>44694</v>
      </c>
      <c r="C15" s="61">
        <v>44712</v>
      </c>
      <c r="D15" s="62" t="s">
        <v>31</v>
      </c>
      <c r="E15" s="63">
        <v>0.17</v>
      </c>
      <c r="F15" s="64">
        <f t="shared" si="1"/>
        <v>0.1</v>
      </c>
      <c r="G15" s="64">
        <f t="shared" si="2"/>
        <v>0.1</v>
      </c>
      <c r="H15" s="85">
        <v>5223874.4400000004</v>
      </c>
      <c r="I15" s="85">
        <f>SUMIF(D$13:D15,D15,H$13:H15)</f>
        <v>5223874.4400000004</v>
      </c>
      <c r="J15" s="85">
        <f>VLOOKUP(D15,$D$7:$E$9,2,0)-SUMIF(D$13:D15,D15,H$13:H15)</f>
        <v>47404836.190000005</v>
      </c>
      <c r="K15" s="70" t="str">
        <f>IF(D15="","",IF(SUMIF(D$13:D15,D15,H$13:H15)&lt;=IF(D15="Silves",VLOOKUP($F15,$M$13:$T$21,6,0),IF(D15="Itapiranga",VLOOKUP($F15,$M$13:$T$21,7,0),VLOOKUP($F15,$M$13:$T$21,8,0))),"ok","verificar"))</f>
        <v>ok</v>
      </c>
      <c r="L15" s="65">
        <v>0.53</v>
      </c>
      <c r="M15" s="65">
        <v>0.34</v>
      </c>
      <c r="N15" s="65">
        <f>M15-SUM(N$13:N14)</f>
        <v>0.12000000000000002</v>
      </c>
      <c r="O15" s="83">
        <f t="shared" si="3"/>
        <v>6852643.683600001</v>
      </c>
      <c r="P15" s="83">
        <f t="shared" si="4"/>
        <v>6315445.2756000012</v>
      </c>
      <c r="Q15" s="83">
        <f t="shared" si="5"/>
        <v>9865343.2104000021</v>
      </c>
      <c r="R15" s="83">
        <f>SUM(O$13:O15)</f>
        <v>19415823.770200003</v>
      </c>
      <c r="S15" s="83">
        <f>SUM(P$13:P15)</f>
        <v>17893761.614200003</v>
      </c>
      <c r="T15" s="83">
        <f>SUM(Q$13:Q15)</f>
        <v>27951805.762800001</v>
      </c>
    </row>
    <row r="16" spans="1:20">
      <c r="A16" s="18"/>
      <c r="B16" s="61">
        <v>44796</v>
      </c>
      <c r="C16" s="61">
        <v>44804</v>
      </c>
      <c r="D16" s="62" t="s">
        <v>29</v>
      </c>
      <c r="E16" s="63">
        <v>0.44</v>
      </c>
      <c r="F16" s="64">
        <f t="shared" si="1"/>
        <v>0.22</v>
      </c>
      <c r="G16" s="64">
        <f t="shared" si="2"/>
        <v>0.12</v>
      </c>
      <c r="H16" s="85">
        <v>6742260.8700000001</v>
      </c>
      <c r="I16" s="85">
        <f>SUMIF(D$13:D16,D16,H$13:H16)</f>
        <v>12367317.52</v>
      </c>
      <c r="J16" s="85">
        <f>VLOOKUP(D16,$D$7:$E$9,2,0)-SUMIF(D$13:D16,D16,H$13:H16)</f>
        <v>44738046.510000005</v>
      </c>
      <c r="K16" s="70" t="str">
        <f>IF(D16="","",IF(SUMIF(D$13:D16,D16,H$13:H16)&lt;=IF(D16="Silves",VLOOKUP($F16,$M$13:$T$21,6,0),IF(D16="Itapiranga",VLOOKUP($F16,$M$13:$T$21,7,0),VLOOKUP($F16,$M$13:$T$21,8,0))),"ok","verificar"))</f>
        <v>ok</v>
      </c>
      <c r="L16" s="65">
        <v>0.6</v>
      </c>
      <c r="M16" s="65">
        <v>0.46</v>
      </c>
      <c r="N16" s="65">
        <f>M16-SUM(N$13:N15)</f>
        <v>0.12</v>
      </c>
      <c r="O16" s="83">
        <f t="shared" si="3"/>
        <v>6852643.6836000001</v>
      </c>
      <c r="P16" s="83">
        <f t="shared" si="4"/>
        <v>6315445.2756000003</v>
      </c>
      <c r="Q16" s="83">
        <f t="shared" si="5"/>
        <v>9865343.2104000002</v>
      </c>
      <c r="R16" s="83">
        <f>SUM(O$13:O16)</f>
        <v>26268467.453800004</v>
      </c>
      <c r="S16" s="83">
        <f>SUM(P$13:P16)</f>
        <v>24209206.889800005</v>
      </c>
      <c r="T16" s="83">
        <f>SUM(Q$13:Q16)</f>
        <v>37817148.973200001</v>
      </c>
    </row>
    <row r="17" spans="1:20">
      <c r="A17" s="18"/>
      <c r="B17" s="61">
        <v>44796</v>
      </c>
      <c r="C17" s="61">
        <v>44804</v>
      </c>
      <c r="D17" s="62" t="s">
        <v>32</v>
      </c>
      <c r="E17" s="63">
        <v>0.4</v>
      </c>
      <c r="F17" s="64">
        <f t="shared" si="1"/>
        <v>0.22</v>
      </c>
      <c r="G17" s="64">
        <f t="shared" si="2"/>
        <v>0.12</v>
      </c>
      <c r="H17" s="85">
        <v>7061734.5300000003</v>
      </c>
      <c r="I17" s="85">
        <f>SUMIF(D$13:D17,D17,H$13:H17)</f>
        <v>14732258.010000002</v>
      </c>
      <c r="J17" s="85">
        <f>VLOOKUP(D17,$D$7:$E$9,2,0)-SUMIF(D$13:D17,D17,H$13:H17)</f>
        <v>67478935.409999996</v>
      </c>
      <c r="K17" s="70" t="str">
        <f>IF(D17="","",IF(SUMIF(D$13:D17,D17,H$13:H17)&lt;=IF(D17="Silves",VLOOKUP($F17,$M$13:$T$21,6,0),IF(D17="Itapiranga",VLOOKUP($F17,$M$13:$T$21,7,0),VLOOKUP($F17,$M$13:$T$21,8,0))),"ok","verificar"))</f>
        <v>ok</v>
      </c>
      <c r="L17" s="65">
        <v>0.69</v>
      </c>
      <c r="M17" s="65">
        <v>0.57999999999999996</v>
      </c>
      <c r="N17" s="65">
        <f>M17-SUM(N$13:N16)</f>
        <v>0.11999999999999994</v>
      </c>
      <c r="O17" s="83">
        <f t="shared" si="3"/>
        <v>6852643.6835999964</v>
      </c>
      <c r="P17" s="83">
        <f t="shared" si="4"/>
        <v>6315445.2755999975</v>
      </c>
      <c r="Q17" s="83">
        <f t="shared" si="5"/>
        <v>9865343.2103999946</v>
      </c>
      <c r="R17" s="83">
        <f>SUM(O$13:O17)</f>
        <v>33121111.137400001</v>
      </c>
      <c r="S17" s="83">
        <f>SUM(P$13:P17)</f>
        <v>30524652.165400002</v>
      </c>
      <c r="T17" s="83">
        <f>SUM(Q$13:Q17)</f>
        <v>47682492.183599994</v>
      </c>
    </row>
    <row r="18" spans="1:20">
      <c r="A18" s="18"/>
      <c r="B18" s="61">
        <v>44797</v>
      </c>
      <c r="C18" s="61">
        <v>44804</v>
      </c>
      <c r="D18" s="62" t="s">
        <v>31</v>
      </c>
      <c r="E18" s="63">
        <v>0.4</v>
      </c>
      <c r="F18" s="64">
        <f t="shared" si="1"/>
        <v>0.22</v>
      </c>
      <c r="G18" s="64">
        <f t="shared" si="2"/>
        <v>0.12</v>
      </c>
      <c r="H18" s="85">
        <f>6315547.57</f>
        <v>6315547.5700000003</v>
      </c>
      <c r="I18" s="85">
        <f>SUMIF(D$13:D18,D18,H$13:H18)</f>
        <v>11539422.010000002</v>
      </c>
      <c r="J18" s="85">
        <f>VLOOKUP(D18,$D$7:$E$9,2,0)-SUMIF(D$13:D18,D18,H$13:H18)</f>
        <v>41089288.620000005</v>
      </c>
      <c r="K18" s="70" t="str">
        <f>IF(D18="","",IF(SUMIF(D$13:D18,D18,H$13:H18)&lt;=IF(D18="Silves",VLOOKUP($F18,$M$13:$T$21,6,0),IF(D18="Itapiranga",VLOOKUP($F18,$M$13:$T$21,7,0),VLOOKUP($F18,$M$13:$T$21,8,0))),"ok","verificar"))</f>
        <v>ok</v>
      </c>
      <c r="L18" s="65">
        <v>0.77</v>
      </c>
      <c r="M18" s="65">
        <v>0.7</v>
      </c>
      <c r="N18" s="65">
        <f>M18-SUM(N$13:N17)</f>
        <v>0.12</v>
      </c>
      <c r="O18" s="83">
        <f t="shared" si="3"/>
        <v>6852643.6836000001</v>
      </c>
      <c r="P18" s="83">
        <f t="shared" si="4"/>
        <v>6315445.2756000003</v>
      </c>
      <c r="Q18" s="83">
        <f t="shared" si="5"/>
        <v>9865343.2104000002</v>
      </c>
      <c r="R18" s="83">
        <f>SUM(O$13:O18)</f>
        <v>39973754.821000002</v>
      </c>
      <c r="S18" s="83">
        <f>SUM(P$13:P18)</f>
        <v>36840097.441</v>
      </c>
      <c r="T18" s="83">
        <f>SUM(Q$13:Q18)</f>
        <v>57547835.393999994</v>
      </c>
    </row>
    <row r="19" spans="1:20">
      <c r="A19" s="18"/>
      <c r="B19" s="61">
        <v>44859</v>
      </c>
      <c r="C19" s="61">
        <v>44865</v>
      </c>
      <c r="D19" s="62" t="s">
        <v>29</v>
      </c>
      <c r="E19" s="63">
        <v>0.53</v>
      </c>
      <c r="F19" s="64">
        <f t="shared" si="1"/>
        <v>0.34</v>
      </c>
      <c r="G19" s="64">
        <f t="shared" si="2"/>
        <v>0.12000000000000002</v>
      </c>
      <c r="H19" s="85">
        <f>6850906.94-7540</f>
        <v>6843366.9400000004</v>
      </c>
      <c r="I19" s="85">
        <f>SUMIF(D$13:D19,D19,H$13:H19)</f>
        <v>19210684.460000001</v>
      </c>
      <c r="J19" s="85">
        <f>VLOOKUP(D19,$D$7:$E$9,2,0)-SUMIF(D$13:D19,D19,H$13:H19)</f>
        <v>37894679.57</v>
      </c>
      <c r="K19" s="70" t="str">
        <f>IF(D19="","",IF(SUMIF(D$13:D19,D19,H$13:H19)&lt;=IF(D19="Silves",VLOOKUP($F19,$M$13:$T$21,6,0),IF(D19="Itapiranga",VLOOKUP($F19,$M$13:$T$21,7,0),VLOOKUP($F19,$M$13:$T$21,8,0))),"ok","verificar"))</f>
        <v>ok</v>
      </c>
      <c r="L19" s="65">
        <v>0.86</v>
      </c>
      <c r="M19" s="65">
        <v>0.82</v>
      </c>
      <c r="N19" s="65">
        <f>M19-SUM(N$13:N18)</f>
        <v>0.12</v>
      </c>
      <c r="O19" s="83">
        <f t="shared" si="3"/>
        <v>6852643.6836000001</v>
      </c>
      <c r="P19" s="83">
        <f t="shared" si="4"/>
        <v>6315445.2756000003</v>
      </c>
      <c r="Q19" s="83">
        <f t="shared" si="5"/>
        <v>9865343.2104000002</v>
      </c>
      <c r="R19" s="83">
        <f>SUM(O$13:O19)</f>
        <v>46826398.504600003</v>
      </c>
      <c r="S19" s="83">
        <f>SUM(P$13:P19)</f>
        <v>43155542.716600001</v>
      </c>
      <c r="T19" s="83">
        <f>SUM(Q$13:Q19)</f>
        <v>67413178.604399994</v>
      </c>
    </row>
    <row r="20" spans="1:20">
      <c r="A20" s="18"/>
      <c r="B20" s="61">
        <v>44859</v>
      </c>
      <c r="C20" s="61">
        <v>44865</v>
      </c>
      <c r="D20" s="62" t="s">
        <v>31</v>
      </c>
      <c r="E20" s="63">
        <v>0.53</v>
      </c>
      <c r="F20" s="64">
        <f t="shared" si="1"/>
        <v>0.34</v>
      </c>
      <c r="G20" s="64">
        <f t="shared" si="2"/>
        <v>0.12000000000000002</v>
      </c>
      <c r="H20" s="85">
        <v>4235995.4800000004</v>
      </c>
      <c r="I20" s="85">
        <f>SUMIF(D$13:D20,D20,H$13:H20)</f>
        <v>15775417.490000002</v>
      </c>
      <c r="J20" s="85">
        <f>VLOOKUP(D20,$D$7:$E$9,2,0)-SUMIF(D$13:D20,D20,H$13:H20)</f>
        <v>36853293.140000001</v>
      </c>
      <c r="K20" s="70" t="str">
        <f>IF(D20="","",IF(SUMIF(D$13:D20,D20,H$13:H20)&lt;=IF(D20="Silves",VLOOKUP($F20,$M$13:$T$21,6,0),IF(D20="Itapiranga",VLOOKUP($F20,$M$13:$T$21,7,0),VLOOKUP($F20,$M$13:$T$21,8,0))),"ok","verificar"))</f>
        <v>ok</v>
      </c>
      <c r="L20" s="65">
        <v>0.97</v>
      </c>
      <c r="M20" s="65">
        <v>1</v>
      </c>
      <c r="N20" s="65">
        <f>M20-SUM(N$13:N19)</f>
        <v>0.18000000000000005</v>
      </c>
      <c r="O20" s="83">
        <f t="shared" si="3"/>
        <v>10278965.525400003</v>
      </c>
      <c r="P20" s="83">
        <f t="shared" si="4"/>
        <v>9473167.9134000037</v>
      </c>
      <c r="Q20" s="83">
        <f t="shared" si="5"/>
        <v>14798014.815600004</v>
      </c>
      <c r="R20" s="83">
        <f>SUM(O$13:O20)</f>
        <v>57105364.030000009</v>
      </c>
      <c r="S20" s="83">
        <f>SUM(P$13:P20)</f>
        <v>52628710.630000003</v>
      </c>
      <c r="T20" s="83">
        <f>SUM(Q$13:Q20)</f>
        <v>82211193.420000002</v>
      </c>
    </row>
    <row r="21" spans="1:20">
      <c r="A21" s="18"/>
      <c r="B21" s="61">
        <v>44895</v>
      </c>
      <c r="C21" s="61">
        <v>44909</v>
      </c>
      <c r="D21" s="62" t="s">
        <v>32</v>
      </c>
      <c r="E21" s="63">
        <v>0.53</v>
      </c>
      <c r="F21" s="64">
        <f t="shared" si="1"/>
        <v>0.34</v>
      </c>
      <c r="G21" s="64">
        <f t="shared" si="2"/>
        <v>0.12000000000000002</v>
      </c>
      <c r="H21" s="85">
        <v>12396834.33</v>
      </c>
      <c r="I21" s="85">
        <f>SUMIF(D$13:D21,D21,H$13:H21)</f>
        <v>27129092.340000004</v>
      </c>
      <c r="J21" s="85">
        <f>VLOOKUP(D21,$D$7:$E$9,2,0)-SUMIF(D$13:D21,D21,H$13:H21)</f>
        <v>55082101.079999998</v>
      </c>
      <c r="K21" s="70" t="str">
        <f>IF(D21="","",IF(SUMIF(D$13:D21,D21,H$13:H21)&lt;=IF(D21="Silves",VLOOKUP($F21,$M$13:$T$21,6,0),IF(D21="Itapiranga",VLOOKUP($F21,$M$13:$T$21,7,0),VLOOKUP($F21,$M$13:$T$21,8,0))),"ok","verificar"))</f>
        <v>ok</v>
      </c>
      <c r="L21" s="65">
        <v>1</v>
      </c>
      <c r="M21" s="65">
        <v>1</v>
      </c>
      <c r="N21" s="65">
        <f>M21-SUM(N$13:N20)</f>
        <v>0</v>
      </c>
      <c r="O21" s="83"/>
      <c r="P21" s="83"/>
      <c r="Q21" s="83"/>
      <c r="R21" s="83"/>
      <c r="S21" s="83"/>
      <c r="T21" s="83"/>
    </row>
    <row r="22" spans="1:20" ht="13.5">
      <c r="A22" s="18"/>
      <c r="B22" s="61">
        <v>44903</v>
      </c>
      <c r="C22" s="61">
        <v>44909</v>
      </c>
      <c r="D22" s="62" t="s">
        <v>31</v>
      </c>
      <c r="E22" s="63">
        <v>0.6</v>
      </c>
      <c r="F22" s="64">
        <f t="shared" si="1"/>
        <v>0.46</v>
      </c>
      <c r="G22" s="64">
        <f t="shared" si="2"/>
        <v>0.12</v>
      </c>
      <c r="H22" s="85">
        <v>6997321.8300000001</v>
      </c>
      <c r="I22" s="85">
        <f>SUMIF(D$13:D22,D22,H$13:H22)</f>
        <v>22772739.32</v>
      </c>
      <c r="J22" s="85">
        <f>VLOOKUP(D22,$D$7:$E$9,2,0)-SUMIF(D$13:D22,D22,H$13:H22)</f>
        <v>29855971.310000002</v>
      </c>
      <c r="K22" s="70" t="str">
        <f>IF(D22="","",IF(SUMIF(D$13:D22,D22,H$13:H22)&lt;=IF(D22="Silves",VLOOKUP($F22,$M$13:$T$21,6,0),IF(D22="Itapiranga",VLOOKUP($F22,$M$13:$T$21,7,0),VLOOKUP($F22,$M$13:$T$21,8,0))),"ok","verificar"))</f>
        <v>ok</v>
      </c>
      <c r="L22" s="66"/>
      <c r="M22" s="67"/>
      <c r="N22" s="65" t="s">
        <v>2</v>
      </c>
      <c r="O22" s="84">
        <f>SUM(O13:O21)</f>
        <v>57105364.030000009</v>
      </c>
      <c r="P22" s="84">
        <f t="shared" ref="P22:Q22" si="6">SUM(P13:P21)</f>
        <v>52628710.630000003</v>
      </c>
      <c r="Q22" s="84">
        <f t="shared" si="6"/>
        <v>82211193.420000002</v>
      </c>
      <c r="R22" s="84"/>
      <c r="S22" s="84"/>
      <c r="T22" s="84"/>
    </row>
    <row r="23" spans="1:20">
      <c r="A23" s="18"/>
      <c r="B23" s="61">
        <v>44903</v>
      </c>
      <c r="C23" s="61">
        <v>44909</v>
      </c>
      <c r="D23" s="62" t="s">
        <v>29</v>
      </c>
      <c r="E23" s="63">
        <v>0.6</v>
      </c>
      <c r="F23" s="64">
        <f t="shared" si="1"/>
        <v>0.46</v>
      </c>
      <c r="G23" s="64">
        <f t="shared" si="2"/>
        <v>0.12</v>
      </c>
      <c r="H23" s="85">
        <v>6850369.3899999997</v>
      </c>
      <c r="I23" s="85">
        <f>SUMIF(D$13:D23,D23,H$13:H23)</f>
        <v>26061053.850000001</v>
      </c>
      <c r="J23" s="85">
        <f>VLOOKUP(D23,$D$7:$E$9,2,0)-SUMIF(D$13:D23,D23,H$13:H23)</f>
        <v>31044310.18</v>
      </c>
      <c r="K23" s="70" t="str">
        <f>IF(D23="","",IF(SUMIF(D$13:D23,D23,H$13:H23)&lt;=IF(D23="Silves",VLOOKUP($F23,$M$13:$T$21,6,0),IF(D23="Itapiranga",VLOOKUP($F23,$M$13:$T$21,7,0),VLOOKUP($F23,$M$13:$T$21,8,0))),"ok","verificar"))</f>
        <v>ok</v>
      </c>
      <c r="L23" s="40"/>
      <c r="O23" s="41"/>
      <c r="P23" s="41"/>
      <c r="Q23" s="41"/>
    </row>
    <row r="24" spans="1:20">
      <c r="A24" s="18"/>
      <c r="B24" s="61">
        <v>44951</v>
      </c>
      <c r="C24" s="61">
        <v>44957</v>
      </c>
      <c r="D24" s="62" t="s">
        <v>32</v>
      </c>
      <c r="E24" s="63">
        <v>0.6</v>
      </c>
      <c r="F24" s="64">
        <f t="shared" si="1"/>
        <v>0.46</v>
      </c>
      <c r="G24" s="64">
        <f t="shared" si="2"/>
        <v>0.12</v>
      </c>
      <c r="H24" s="85">
        <v>10500234.050000001</v>
      </c>
      <c r="I24" s="85">
        <f>SUMIF(D$13:D24,D24,H$13:H24)</f>
        <v>37629326.390000001</v>
      </c>
      <c r="J24" s="85">
        <f>VLOOKUP(D24,$D$7:$E$9,2,0)-SUMIF(D$13:D24,D24,H$13:H24)</f>
        <v>44581867.030000001</v>
      </c>
      <c r="K24" s="70" t="str">
        <f>IF(D24="","",IF(SUMIF(D$13:D24,D24,H$13:H24)&lt;=IF(D24="Silves",VLOOKUP($F24,$M$13:$T$21,6,0),IF(D24="Itapiranga",VLOOKUP($F24,$M$13:$T$21,7,0),VLOOKUP($F24,$M$13:$T$21,8,0))),"ok","verificar"))</f>
        <v>ok</v>
      </c>
      <c r="O24" s="33"/>
      <c r="P24" s="33"/>
      <c r="Q24" s="33"/>
      <c r="T24" s="33"/>
    </row>
    <row r="25" spans="1:20">
      <c r="A25" s="18"/>
      <c r="B25" s="61">
        <v>44979</v>
      </c>
      <c r="C25" s="61">
        <v>44985</v>
      </c>
      <c r="D25" s="62" t="s">
        <v>29</v>
      </c>
      <c r="E25" s="63">
        <v>0.69</v>
      </c>
      <c r="F25" s="64">
        <f t="shared" si="1"/>
        <v>0.57999999999999996</v>
      </c>
      <c r="G25" s="64">
        <f t="shared" si="2"/>
        <v>0.11999999999999994</v>
      </c>
      <c r="H25" s="85">
        <v>6856992.9699999997</v>
      </c>
      <c r="I25" s="85">
        <f>SUMIF(D$13:D25,D25,H$13:H25)</f>
        <v>32918046.82</v>
      </c>
      <c r="J25" s="85">
        <f>VLOOKUP(D25,$D$7:$E$9,2,0)-SUMIF(D$13:D25,D25,H$13:H25)</f>
        <v>24187317.210000001</v>
      </c>
      <c r="K25" s="70" t="str">
        <f>IF(D25="","",IF(SUMIF(D$13:D25,D25,H$13:H25)&lt;=IF(D25="Silves",VLOOKUP($F25,$M$13:$T$21,6,0),IF(D25="Itapiranga",VLOOKUP($F25,$M$13:$T$21,7,0),VLOOKUP($F25,$M$13:$T$21,8,0))),"ok","verificar"))</f>
        <v>ok</v>
      </c>
      <c r="T25" s="41"/>
    </row>
    <row r="26" spans="1:20">
      <c r="A26" s="18"/>
      <c r="B26" s="61">
        <v>44979</v>
      </c>
      <c r="C26" s="61">
        <v>44985</v>
      </c>
      <c r="D26" s="62" t="s">
        <v>31</v>
      </c>
      <c r="E26" s="63">
        <v>0.69</v>
      </c>
      <c r="F26" s="64">
        <f t="shared" si="1"/>
        <v>0.57999999999999996</v>
      </c>
      <c r="G26" s="64">
        <f t="shared" si="2"/>
        <v>0.11999999999999994</v>
      </c>
      <c r="H26" s="85">
        <v>6359725.6299999999</v>
      </c>
      <c r="I26" s="85">
        <f>SUMIF(D$13:D26,D26,H$13:H26)</f>
        <v>29132464.949999999</v>
      </c>
      <c r="J26" s="85">
        <f>VLOOKUP(D26,$D$7:$E$9,2,0)-SUMIF(D$13:D26,D26,H$13:H26)</f>
        <v>23496245.680000003</v>
      </c>
      <c r="K26" s="70" t="str">
        <f>IF(D26="","",IF(SUMIF(D$13:D26,D26,H$13:H26)&lt;=IF(D26="Silves",VLOOKUP($F26,$M$13:$T$21,6,0),IF(D26="Itapiranga",VLOOKUP($F26,$M$13:$T$21,7,0),VLOOKUP($F26,$M$13:$T$21,8,0))),"ok","verificar"))</f>
        <v>ok</v>
      </c>
      <c r="L26" s="40"/>
    </row>
    <row r="27" spans="1:20">
      <c r="A27" s="18"/>
      <c r="B27" s="61">
        <v>45009</v>
      </c>
      <c r="C27" s="61">
        <v>45016</v>
      </c>
      <c r="D27" s="62" t="s">
        <v>31</v>
      </c>
      <c r="E27" s="63">
        <v>0.77</v>
      </c>
      <c r="F27" s="64">
        <f t="shared" si="1"/>
        <v>0.7</v>
      </c>
      <c r="G27" s="64">
        <f t="shared" si="2"/>
        <v>0.12</v>
      </c>
      <c r="H27" s="85">
        <v>4246211.91</v>
      </c>
      <c r="I27" s="85">
        <f>SUMIF(D$13:D27,D27,H$13:H27)</f>
        <v>33378676.859999999</v>
      </c>
      <c r="J27" s="85">
        <f>VLOOKUP(D27,$D$7:$E$9,2,0)-SUMIF(D$13:D27,D27,H$13:H27)</f>
        <v>19250033.770000003</v>
      </c>
      <c r="K27" s="70" t="str">
        <f>IF(D27="","",IF(SUMIF(D$13:D27,D27,H$13:H27)&lt;=IF(D27="Silves",VLOOKUP($F27,$M$13:$T$21,6,0),IF(D27="Itapiranga",VLOOKUP($F27,$M$13:$T$21,7,0),VLOOKUP($F27,$M$13:$T$21,8,0))),"ok","verificar"))</f>
        <v>ok</v>
      </c>
      <c r="L27" s="40"/>
    </row>
    <row r="28" spans="1:20">
      <c r="A28" s="18"/>
      <c r="B28" s="61">
        <v>45009</v>
      </c>
      <c r="C28" s="61">
        <v>45016</v>
      </c>
      <c r="D28" s="62" t="s">
        <v>29</v>
      </c>
      <c r="E28" s="63">
        <v>0.77</v>
      </c>
      <c r="F28" s="64">
        <f t="shared" si="1"/>
        <v>0.7</v>
      </c>
      <c r="G28" s="64">
        <f t="shared" si="2"/>
        <v>0.12</v>
      </c>
      <c r="H28" s="85">
        <v>6633751.0800000001</v>
      </c>
      <c r="I28" s="85">
        <f>SUMIF(D$13:D28,D28,H$13:H28)</f>
        <v>39551797.899999999</v>
      </c>
      <c r="J28" s="85">
        <f>VLOOKUP(D28,$D$7:$E$9,2,0)-SUMIF(D$13:D28,D28,H$13:H28)</f>
        <v>17553566.130000003</v>
      </c>
      <c r="K28" s="70" t="str">
        <f>IF(D28="","",IF(SUMIF(D$13:D28,D28,H$13:H28)&lt;=IF(D28="Silves",VLOOKUP($F28,$M$13:$T$21,6,0),IF(D28="Itapiranga",VLOOKUP($F28,$M$13:$T$21,7,0),VLOOKUP($F28,$M$13:$T$21,8,0))),"ok","verificar"))</f>
        <v>ok</v>
      </c>
      <c r="L28" s="40"/>
    </row>
    <row r="29" spans="1:20">
      <c r="A29" s="18"/>
      <c r="B29" s="61">
        <v>45040</v>
      </c>
      <c r="C29" s="61">
        <v>45044</v>
      </c>
      <c r="D29" s="62" t="s">
        <v>32</v>
      </c>
      <c r="E29" s="63">
        <v>0.69</v>
      </c>
      <c r="F29" s="64">
        <f t="shared" si="1"/>
        <v>0.57999999999999996</v>
      </c>
      <c r="G29" s="64">
        <f t="shared" si="2"/>
        <v>0.11999999999999994</v>
      </c>
      <c r="H29" s="85">
        <v>9239921.1199999992</v>
      </c>
      <c r="I29" s="85">
        <f>SUMIF(D$13:D29,D29,H$13:H29)</f>
        <v>46869247.509999998</v>
      </c>
      <c r="J29" s="85">
        <f>VLOOKUP(D29,$D$7:$E$9,2,0)-SUMIF(D$13:D29,D29,H$13:H29)</f>
        <v>35341945.910000004</v>
      </c>
      <c r="K29" s="70" t="str">
        <f>IF(D29="","",IF(SUMIF(D$13:D29,D29,H$13:H29)&lt;=IF(D29="Silves",VLOOKUP($F29,$M$13:$T$21,6,0),IF(D29="Itapiranga",VLOOKUP($F29,$M$13:$T$21,7,0),VLOOKUP($F29,$M$13:$T$21,8,0))),"ok","verificar"))</f>
        <v>ok</v>
      </c>
      <c r="L29" s="40"/>
    </row>
    <row r="30" spans="1:20">
      <c r="A30" s="18"/>
      <c r="B30" s="61">
        <v>45040</v>
      </c>
      <c r="C30" s="61">
        <v>45044</v>
      </c>
      <c r="D30" s="62" t="s">
        <v>29</v>
      </c>
      <c r="E30" s="63">
        <v>0.86</v>
      </c>
      <c r="F30" s="64">
        <f t="shared" si="1"/>
        <v>0.82</v>
      </c>
      <c r="G30" s="64">
        <f t="shared" si="2"/>
        <v>0.12</v>
      </c>
      <c r="H30" s="85">
        <v>4774843.03</v>
      </c>
      <c r="I30" s="85">
        <f>SUMIF(D$13:D30,D30,H$13:H30)</f>
        <v>44326640.93</v>
      </c>
      <c r="J30" s="85">
        <f>VLOOKUP(D30,$D$7:$E$9,2,0)-SUMIF(D$13:D30,D30,H$13:H30)</f>
        <v>12778723.100000001</v>
      </c>
      <c r="K30" s="70" t="str">
        <f>IF(D30="","",IF(SUMIF(D$13:D30,D30,H$13:H30)&lt;=IF(D30="Silves",VLOOKUP($F30,$M$13:$T$21,6,0),IF(D30="Itapiranga",VLOOKUP($F30,$M$13:$T$21,7,0),VLOOKUP($F30,$M$13:$T$21,8,0))),"ok","verificar"))</f>
        <v>ok</v>
      </c>
      <c r="L30" s="40"/>
    </row>
    <row r="31" spans="1:20">
      <c r="A31" s="18"/>
      <c r="B31" s="61">
        <v>45084</v>
      </c>
      <c r="C31" s="61">
        <v>45092</v>
      </c>
      <c r="D31" s="62" t="s">
        <v>31</v>
      </c>
      <c r="E31" s="63">
        <v>0.87</v>
      </c>
      <c r="F31" s="64">
        <f t="shared" ref="F31" si="7">VLOOKUP(E31,$L$13:$N$21,2,TRUE)</f>
        <v>0.82</v>
      </c>
      <c r="G31" s="64">
        <f t="shared" ref="G31" si="8">VLOOKUP(E31,$L$13:$N$21,3,TRUE)</f>
        <v>0.12</v>
      </c>
      <c r="H31" s="85">
        <v>6239845.2999999998</v>
      </c>
      <c r="I31" s="85">
        <f>SUMIF(D$13:D31,D31,H$13:H31)</f>
        <v>39618522.159999996</v>
      </c>
      <c r="J31" s="85">
        <f>VLOOKUP(D31,$D$7:$E$9,2,0)-SUMIF(D$13:D31,D31,H$13:H31)</f>
        <v>13010188.470000006</v>
      </c>
      <c r="K31" s="70" t="str">
        <f>IF(D31="","",IF(SUMIF(D$13:D31,D31,H$13:H31)&lt;=IF(D31="Silves",VLOOKUP($F31,$M$13:$T$21,6,0),IF(D31="Itapiranga",VLOOKUP($F31,$M$13:$T$21,7,0),VLOOKUP($F31,$M$13:$T$21,8,0))),"ok","verificar"))</f>
        <v>ok</v>
      </c>
      <c r="L31" s="40"/>
    </row>
    <row r="32" spans="1:20">
      <c r="A32" s="18"/>
      <c r="B32" s="61">
        <v>45146</v>
      </c>
      <c r="C32" s="61">
        <v>45152</v>
      </c>
      <c r="D32" s="62" t="s">
        <v>32</v>
      </c>
      <c r="E32" s="63">
        <v>0.77</v>
      </c>
      <c r="F32" s="64">
        <f t="shared" si="1"/>
        <v>0.7</v>
      </c>
      <c r="G32" s="64">
        <f t="shared" si="2"/>
        <v>0.12</v>
      </c>
      <c r="H32" s="85">
        <v>9744918.1600000001</v>
      </c>
      <c r="I32" s="85">
        <f>SUMIF(D$13:D32,D32,H$13:H32)</f>
        <v>56614165.670000002</v>
      </c>
      <c r="J32" s="85">
        <f>VLOOKUP(D32,$D$7:$E$9,2,0)-SUMIF(D$13:D32,D32,H$13:H32)</f>
        <v>25597027.75</v>
      </c>
      <c r="K32" s="70" t="str">
        <f>IF(D32="","",IF(SUMIF(D$13:D32,D32,H$13:H32)&lt;=IF(D32="Silves",VLOOKUP($F32,$M$13:$T$21,6,0),IF(D32="Itapiranga",VLOOKUP($F32,$M$13:$T$21,7,0),VLOOKUP($F32,$M$13:$T$21,8,0))),"ok","verificar"))</f>
        <v>ok</v>
      </c>
      <c r="L32" s="40"/>
    </row>
    <row r="33" spans="1:12">
      <c r="A33" s="18"/>
      <c r="B33" s="61">
        <v>45161</v>
      </c>
      <c r="C33" s="61">
        <v>45169</v>
      </c>
      <c r="D33" s="62" t="s">
        <v>29</v>
      </c>
      <c r="E33" s="63">
        <v>0.86</v>
      </c>
      <c r="F33" s="64">
        <f t="shared" ref="F33:F39" si="9">VLOOKUP(E33,$L$13:$N$21,2,TRUE)</f>
        <v>0.82</v>
      </c>
      <c r="G33" s="64">
        <f t="shared" ref="G33:G34" si="10">VLOOKUP(E33,$L$13:$N$21,3,TRUE)</f>
        <v>0.12</v>
      </c>
      <c r="H33" s="85">
        <v>2313676.0299999998</v>
      </c>
      <c r="I33" s="85">
        <f>SUMIF(D$13:D33,D33,H$13:H33)</f>
        <v>46640316.960000001</v>
      </c>
      <c r="J33" s="85">
        <f>VLOOKUP(D33,$D$7:$E$9,2,0)-SUMIF(D$13:D33,D33,H$13:H33)</f>
        <v>10465047.07</v>
      </c>
      <c r="K33" s="70" t="str">
        <f>IF(D33="","",IF(SUMIF(D$13:D33,D33,H$13:H33)&lt;=IF(D33="Silves",VLOOKUP($F33,$M$13:$T$21,6,0),IF(D33="Itapiranga",VLOOKUP($F33,$M$13:$T$21,7,0),VLOOKUP($F33,$M$13:$T$21,8,0))),"ok","verificar"))</f>
        <v>ok</v>
      </c>
      <c r="L33" s="40"/>
    </row>
    <row r="34" spans="1:12">
      <c r="A34" s="18"/>
      <c r="B34" s="61">
        <v>45161</v>
      </c>
      <c r="C34" s="61">
        <v>45169</v>
      </c>
      <c r="D34" s="62" t="s">
        <v>31</v>
      </c>
      <c r="E34" s="63">
        <v>0.87</v>
      </c>
      <c r="F34" s="64">
        <f t="shared" si="9"/>
        <v>0.82</v>
      </c>
      <c r="G34" s="64">
        <f t="shared" si="10"/>
        <v>0.12</v>
      </c>
      <c r="H34" s="85">
        <v>1443072.4</v>
      </c>
      <c r="I34" s="85">
        <f>SUMIF(D$13:D34,D34,H$13:H34)</f>
        <v>41061594.559999995</v>
      </c>
      <c r="J34" s="85">
        <f>VLOOKUP(D34,$D$7:$E$9,2,0)-SUMIF(D$13:D34,D34,H$13:H34)</f>
        <v>11567116.070000008</v>
      </c>
      <c r="K34" s="70" t="str">
        <f>IF(D34="","",IF(SUMIF(D$13:D34,D34,H$13:H34)&lt;=IF(D34="Silves",VLOOKUP($F34,$M$13:$T$21,6,0),IF(D34="Itapiranga",VLOOKUP($F34,$M$13:$T$21,7,0),VLOOKUP($F34,$M$13:$T$21,8,0))),"ok","verificar"))</f>
        <v>ok</v>
      </c>
      <c r="L34" s="40"/>
    </row>
    <row r="35" spans="1:12">
      <c r="A35" s="86"/>
      <c r="B35" s="61">
        <v>45224</v>
      </c>
      <c r="C35" s="61">
        <v>45230</v>
      </c>
      <c r="D35" s="62" t="s">
        <v>29</v>
      </c>
      <c r="E35" s="63">
        <v>0.86</v>
      </c>
      <c r="F35" s="64">
        <f t="shared" si="9"/>
        <v>0.82</v>
      </c>
      <c r="G35" s="64">
        <f t="shared" ref="G35:G39" si="11">VLOOKUP(E35,$L$13:$N$21,3,TRUE)</f>
        <v>0.12</v>
      </c>
      <c r="H35" s="85">
        <v>183936.84</v>
      </c>
      <c r="I35" s="85">
        <f>SUMIF(D$13:D35,D35,H$13:H35)</f>
        <v>46824253.800000004</v>
      </c>
      <c r="J35" s="85">
        <f>VLOOKUP(D35,$D$7:$E$9,2,0)-SUMIF(D$13:D35,D35,H$13:H35)</f>
        <v>10281110.229999997</v>
      </c>
      <c r="K35" s="70"/>
      <c r="L35" s="40"/>
    </row>
    <row r="36" spans="1:12">
      <c r="A36" s="18"/>
      <c r="B36" s="61">
        <v>45243</v>
      </c>
      <c r="C36" s="61">
        <v>45260</v>
      </c>
      <c r="D36" s="62" t="s">
        <v>32</v>
      </c>
      <c r="E36" s="63">
        <v>0.77</v>
      </c>
      <c r="F36" s="64">
        <f t="shared" si="9"/>
        <v>0.7</v>
      </c>
      <c r="G36" s="64">
        <f t="shared" si="11"/>
        <v>0.12</v>
      </c>
      <c r="H36" s="85">
        <v>598378.18999999994</v>
      </c>
      <c r="I36" s="85">
        <f>SUMIF(D$13:D36,D36,H$13:H36)</f>
        <v>57212543.859999999</v>
      </c>
      <c r="J36" s="85">
        <f>VLOOKUP(D36,$D$7:$E$9,2,0)-SUMIF(D$13:D36,D36,H$13:H36)</f>
        <v>24998649.560000002</v>
      </c>
      <c r="K36" s="70"/>
      <c r="L36" s="40"/>
    </row>
    <row r="37" spans="1:12">
      <c r="A37" s="18"/>
      <c r="B37" s="61">
        <v>45243</v>
      </c>
      <c r="C37" s="61">
        <v>45260</v>
      </c>
      <c r="D37" s="62" t="s">
        <v>31</v>
      </c>
      <c r="E37" s="63">
        <v>0.87</v>
      </c>
      <c r="F37" s="64">
        <f t="shared" si="9"/>
        <v>0.82</v>
      </c>
      <c r="G37" s="64">
        <f t="shared" si="11"/>
        <v>0.12</v>
      </c>
      <c r="H37" s="85">
        <v>402405.83</v>
      </c>
      <c r="I37" s="85">
        <f>SUMIF(D$13:D37,D37,H$13:H37)</f>
        <v>41464000.389999993</v>
      </c>
      <c r="J37" s="85">
        <f>VLOOKUP(D37,$D$7:$E$9,2,0)-SUMIF(D$13:D37,D37,H$13:H37)</f>
        <v>11164710.24000001</v>
      </c>
      <c r="K37" s="70"/>
      <c r="L37" s="40"/>
    </row>
    <row r="38" spans="1:12">
      <c r="A38" s="18"/>
      <c r="B38" s="61">
        <v>45267</v>
      </c>
      <c r="C38" s="61">
        <v>45274</v>
      </c>
      <c r="D38" s="62" t="s">
        <v>29</v>
      </c>
      <c r="E38" s="63">
        <v>0.97</v>
      </c>
      <c r="F38" s="64">
        <f t="shared" si="9"/>
        <v>1</v>
      </c>
      <c r="G38" s="64">
        <f t="shared" si="11"/>
        <v>0.18000000000000005</v>
      </c>
      <c r="H38" s="85">
        <v>4822159.3</v>
      </c>
      <c r="I38" s="85">
        <f>SUMIF(D$13:D38,D38,H$13:H38)</f>
        <v>51646413.100000001</v>
      </c>
      <c r="J38" s="85">
        <f>VLOOKUP(D38,$D$7:$E$9,2,0)-SUMIF(D$13:D38,D38,H$13:H38)</f>
        <v>5458950.9299999997</v>
      </c>
      <c r="K38" s="70"/>
      <c r="L38" s="40"/>
    </row>
    <row r="39" spans="1:12">
      <c r="A39" s="18"/>
      <c r="B39" s="61">
        <v>45295</v>
      </c>
      <c r="C39" s="61">
        <v>45306</v>
      </c>
      <c r="D39" s="62" t="s">
        <v>32</v>
      </c>
      <c r="E39" s="63">
        <v>0.77</v>
      </c>
      <c r="F39" s="64">
        <f t="shared" si="9"/>
        <v>0.7</v>
      </c>
      <c r="G39" s="64">
        <f t="shared" si="11"/>
        <v>0.12</v>
      </c>
      <c r="H39" s="85">
        <v>296445.67</v>
      </c>
      <c r="I39" s="85">
        <f>SUMIF(D$13:D39,D39,H$13:H39)</f>
        <v>57508989.530000001</v>
      </c>
      <c r="J39" s="85">
        <f>VLOOKUP(D39,$D$7:$E$9,2,0)-SUMIF(D$13:D39,D39,H$13:H39)</f>
        <v>24702203.890000001</v>
      </c>
      <c r="K39" s="70"/>
      <c r="L39" s="40"/>
    </row>
    <row r="40" spans="1:12">
      <c r="A40" s="18"/>
      <c r="B40" s="61">
        <v>45330</v>
      </c>
      <c r="C40" s="61">
        <v>45337</v>
      </c>
      <c r="D40" s="62" t="s">
        <v>32</v>
      </c>
      <c r="E40" s="63">
        <v>0.77</v>
      </c>
      <c r="F40" s="64">
        <f t="shared" ref="F40:F43" si="12">VLOOKUP(E40,$L$13:$N$21,2,TRUE)</f>
        <v>0.7</v>
      </c>
      <c r="G40" s="64">
        <f t="shared" ref="G40:G43" si="13">VLOOKUP(E40,$L$13:$N$21,3,TRUE)</f>
        <v>0.12</v>
      </c>
      <c r="H40" s="85">
        <v>18384</v>
      </c>
      <c r="I40" s="85">
        <f>SUMIF(D$13:D40,D40,H$13:H40)</f>
        <v>57527373.530000001</v>
      </c>
      <c r="J40" s="85">
        <f>VLOOKUP(D40,$D$7:$E$9,2,0)-SUMIF(D$13:D40,D40,H$13:H40)</f>
        <v>24683819.890000001</v>
      </c>
      <c r="K40" s="70"/>
      <c r="L40" s="40"/>
    </row>
    <row r="41" spans="1:12">
      <c r="A41" s="18"/>
      <c r="B41" s="61">
        <v>45390</v>
      </c>
      <c r="C41" s="61">
        <v>45394</v>
      </c>
      <c r="D41" s="62" t="s">
        <v>31</v>
      </c>
      <c r="E41" s="63">
        <v>0.87</v>
      </c>
      <c r="F41" s="64">
        <f t="shared" si="12"/>
        <v>0.82</v>
      </c>
      <c r="G41" s="64">
        <f t="shared" si="13"/>
        <v>0.12</v>
      </c>
      <c r="H41" s="85">
        <v>544750.81999999995</v>
      </c>
      <c r="I41" s="85">
        <f>SUMIF(D$13:D41,D41,H$13:H41)</f>
        <v>42008751.209999993</v>
      </c>
      <c r="J41" s="85">
        <f>VLOOKUP(D41,$D$7:$E$9,2,0)-SUMIF(D$13:D41,D41,H$13:H41)</f>
        <v>10619959.420000009</v>
      </c>
      <c r="K41" s="70"/>
      <c r="L41" s="40"/>
    </row>
    <row r="42" spans="1:12">
      <c r="A42" s="18"/>
      <c r="B42" s="61">
        <v>45421</v>
      </c>
      <c r="C42" s="61">
        <v>45427</v>
      </c>
      <c r="D42" s="62" t="s">
        <v>29</v>
      </c>
      <c r="E42" s="63">
        <v>0.97</v>
      </c>
      <c r="F42" s="64">
        <f t="shared" si="12"/>
        <v>1</v>
      </c>
      <c r="G42" s="64">
        <f t="shared" si="13"/>
        <v>0.18000000000000005</v>
      </c>
      <c r="H42" s="85">
        <v>2345552.2400000002</v>
      </c>
      <c r="I42" s="85">
        <f>SUMIF(D$13:D42,D42,H$13:H42)</f>
        <v>53991965.340000004</v>
      </c>
      <c r="J42" s="85">
        <f>VLOOKUP(D42,$D$7:$E$9,2,0)-SUMIF(D$13:D42,D42,H$13:H42)</f>
        <v>3113398.6899999976</v>
      </c>
      <c r="K42" s="70"/>
      <c r="L42" s="40"/>
    </row>
    <row r="43" spans="1:12">
      <c r="A43" s="18"/>
      <c r="B43" s="61">
        <v>45470</v>
      </c>
      <c r="C43" s="61">
        <v>45485</v>
      </c>
      <c r="D43" s="62" t="s">
        <v>29</v>
      </c>
      <c r="E43" s="63">
        <v>0.97</v>
      </c>
      <c r="F43" s="64">
        <f t="shared" si="12"/>
        <v>1</v>
      </c>
      <c r="G43" s="64">
        <f t="shared" si="13"/>
        <v>0.18000000000000005</v>
      </c>
      <c r="H43" s="85">
        <v>15140</v>
      </c>
      <c r="I43" s="85">
        <f>SUMIF(D$13:D43,D43,H$13:H43)</f>
        <v>54007105.340000004</v>
      </c>
      <c r="J43" s="85">
        <f>VLOOKUP(D43,$D$7:$E$9,2,0)-SUMIF(D$13:D43,D43,H$13:H43)</f>
        <v>3098258.6899999976</v>
      </c>
      <c r="K43" s="70"/>
      <c r="L43" s="40"/>
    </row>
    <row r="44" spans="1:12">
      <c r="A44" s="18"/>
      <c r="B44" s="61">
        <v>45506</v>
      </c>
      <c r="C44" s="61">
        <v>45518</v>
      </c>
      <c r="D44" s="62" t="s">
        <v>31</v>
      </c>
      <c r="E44" s="63">
        <v>0.86</v>
      </c>
      <c r="F44" s="64">
        <f t="shared" ref="F44:F49" si="14">VLOOKUP(E44,$L$13:$N$21,2,TRUE)</f>
        <v>0.82</v>
      </c>
      <c r="G44" s="64">
        <f t="shared" ref="G44:G49" si="15">VLOOKUP(E44,$L$13:$N$21,3,TRUE)</f>
        <v>0.12</v>
      </c>
      <c r="H44" s="85">
        <v>15140</v>
      </c>
      <c r="I44" s="85">
        <f>SUMIF(D$13:D44,D44,H$13:H44)</f>
        <v>42023891.209999993</v>
      </c>
      <c r="J44" s="85">
        <f>VLOOKUP(D44,$D$7:$E$9,2,0)-SUMIF(D$13:D44,D44,H$13:H44)</f>
        <v>10604819.420000009</v>
      </c>
      <c r="K44" s="70"/>
      <c r="L44" s="40"/>
    </row>
    <row r="45" spans="1:12" ht="14.5">
      <c r="A45" s="18"/>
      <c r="B45" s="50">
        <v>45512</v>
      </c>
      <c r="C45" s="50">
        <v>45518</v>
      </c>
      <c r="D45" s="51" t="s">
        <v>29</v>
      </c>
      <c r="E45" s="63">
        <v>0.97</v>
      </c>
      <c r="F45" s="64">
        <f t="shared" si="14"/>
        <v>1</v>
      </c>
      <c r="G45" s="64">
        <f t="shared" si="15"/>
        <v>0.18000000000000005</v>
      </c>
      <c r="H45" s="51">
        <v>1223965.1599999999</v>
      </c>
      <c r="I45" s="85">
        <f>SUMIF(D$13:D45,D45,H$13:H45)</f>
        <v>55231070.5</v>
      </c>
      <c r="J45" s="85">
        <f>VLOOKUP(D45,$D$7:$E$9,2,0)-SUMIF(D$13:D45,D45,H$13:H45)</f>
        <v>1874293.5300000012</v>
      </c>
      <c r="K45" s="70"/>
      <c r="L45" s="40"/>
    </row>
    <row r="46" spans="1:12" ht="14.5">
      <c r="A46" s="18"/>
      <c r="B46" s="50">
        <v>45569</v>
      </c>
      <c r="C46" s="50">
        <v>45580</v>
      </c>
      <c r="D46" s="51" t="s">
        <v>31</v>
      </c>
      <c r="E46" s="63">
        <v>0.86</v>
      </c>
      <c r="F46" s="64">
        <f t="shared" si="14"/>
        <v>0.82</v>
      </c>
      <c r="G46" s="64">
        <f t="shared" si="15"/>
        <v>0.12</v>
      </c>
      <c r="H46" s="51">
        <v>1121484.7</v>
      </c>
      <c r="I46" s="85">
        <f>SUMIF(D$13:D46,D46,H$13:H46)</f>
        <v>43145375.909999996</v>
      </c>
      <c r="J46" s="85">
        <f>VLOOKUP(D46,$D$7:$E$9,2,0)-SUMIF(D$13:D46,D46,H$13:H46)</f>
        <v>9483334.7200000063</v>
      </c>
      <c r="K46" s="70"/>
      <c r="L46" s="40"/>
    </row>
    <row r="47" spans="1:12" ht="14.5">
      <c r="A47" s="18"/>
      <c r="B47" s="50">
        <v>45569</v>
      </c>
      <c r="C47" s="50">
        <v>45580</v>
      </c>
      <c r="D47" s="51" t="s">
        <v>29</v>
      </c>
      <c r="E47" s="63">
        <v>0.97</v>
      </c>
      <c r="F47" s="64">
        <f t="shared" si="14"/>
        <v>1</v>
      </c>
      <c r="G47" s="64">
        <f t="shared" si="15"/>
        <v>0.18000000000000005</v>
      </c>
      <c r="H47" s="51">
        <v>926277.62999999989</v>
      </c>
      <c r="I47" s="85">
        <f>SUMIF(D$13:D47,D47,H$13:H47)</f>
        <v>56157348.130000003</v>
      </c>
      <c r="J47" s="85">
        <f>VLOOKUP(D47,$D$7:$E$9,2,0)-SUMIF(D$13:D47,D47,H$13:H47)</f>
        <v>948015.89999999851</v>
      </c>
      <c r="K47" s="70"/>
      <c r="L47" s="40"/>
    </row>
    <row r="48" spans="1:12" ht="14.5">
      <c r="A48" s="18"/>
      <c r="B48" s="61">
        <v>45601</v>
      </c>
      <c r="C48" s="61">
        <v>45614</v>
      </c>
      <c r="D48" s="62" t="s">
        <v>29</v>
      </c>
      <c r="E48" s="63">
        <v>0.97</v>
      </c>
      <c r="F48" s="64">
        <f t="shared" si="14"/>
        <v>1</v>
      </c>
      <c r="G48" s="64">
        <f t="shared" si="15"/>
        <v>0.18000000000000005</v>
      </c>
      <c r="H48" s="51">
        <v>80360.69</v>
      </c>
      <c r="I48" s="85">
        <f>SUMIF(D$13:D48,D48,H$13:H48)</f>
        <v>56237708.82</v>
      </c>
      <c r="J48" s="85">
        <f>VLOOKUP(D48,$D$7:$E$9,2,0)-SUMIF(D$13:D48,D48,H$13:H48)</f>
        <v>867655.21000000089</v>
      </c>
      <c r="K48" s="70"/>
      <c r="L48" s="40"/>
    </row>
    <row r="49" spans="1:12" ht="14.5">
      <c r="A49" s="18"/>
      <c r="B49" s="61">
        <v>45693</v>
      </c>
      <c r="C49" s="61">
        <v>45705</v>
      </c>
      <c r="D49" s="51" t="s">
        <v>31</v>
      </c>
      <c r="E49" s="63">
        <v>0.97</v>
      </c>
      <c r="F49" s="64">
        <f t="shared" si="14"/>
        <v>1</v>
      </c>
      <c r="G49" s="64">
        <f t="shared" si="15"/>
        <v>0.18000000000000005</v>
      </c>
      <c r="H49" s="51">
        <v>4413045.88</v>
      </c>
      <c r="I49" s="85">
        <f>SUMIF(D$13:D49,D49,H$13:H49)</f>
        <v>47558421.789999999</v>
      </c>
      <c r="J49" s="85">
        <f>VLOOKUP(D49,$D$7:$E$9,2,0)-SUMIF(D$13:D49,D49,H$13:H49)</f>
        <v>5070288.8400000036</v>
      </c>
      <c r="K49" s="70"/>
      <c r="L49" s="40"/>
    </row>
    <row r="50" spans="1:12">
      <c r="A50" s="18"/>
      <c r="B50" s="61"/>
      <c r="C50" s="61"/>
      <c r="D50" s="62"/>
      <c r="E50" s="63"/>
      <c r="F50" s="64"/>
      <c r="G50" s="64"/>
      <c r="H50" s="85"/>
      <c r="I50" s="85"/>
      <c r="J50" s="85"/>
      <c r="K50" s="70" t="str">
        <f>IF(D50="","",IF(SUMIF(D$13:D50,D50,H$13:H50)&lt;=IF(D50="Silves",VLOOKUP($F50,$M$13:$T$21,6,0),IF(D50="Itapiranga",VLOOKUP($F50,$M$13:$T$21,7,0),VLOOKUP($F50,$M$13:$T$21,8,0))),"ok","verificar"))</f>
        <v/>
      </c>
      <c r="L50" s="40"/>
    </row>
    <row r="51" spans="1:12" ht="15">
      <c r="A51" s="18"/>
      <c r="B51" s="29"/>
      <c r="C51" s="30"/>
      <c r="D51" s="30"/>
      <c r="E51" s="30"/>
      <c r="F51" s="30"/>
      <c r="G51" s="30"/>
      <c r="H51" s="30"/>
      <c r="I51" s="30"/>
      <c r="J51" s="31"/>
      <c r="K51" s="40"/>
      <c r="L51" s="40"/>
    </row>
    <row r="52" spans="1:12">
      <c r="A52" s="18"/>
      <c r="B52" s="18"/>
      <c r="C52" s="18"/>
      <c r="D52" s="18"/>
      <c r="E52" s="18"/>
      <c r="F52" s="18"/>
      <c r="G52" s="32"/>
      <c r="H52" s="32"/>
      <c r="I52" s="32"/>
      <c r="J52" s="32"/>
      <c r="K52" s="18"/>
    </row>
    <row r="53" spans="1:12" ht="68.25" customHeight="1">
      <c r="A53" s="18"/>
      <c r="B53" s="92" t="s">
        <v>43</v>
      </c>
      <c r="C53" s="92"/>
      <c r="D53" s="92"/>
      <c r="E53" s="92"/>
      <c r="F53" s="92"/>
      <c r="G53" s="92"/>
      <c r="H53" s="92"/>
      <c r="I53" s="92"/>
      <c r="J53" s="92"/>
      <c r="K53" s="18"/>
    </row>
    <row r="54" spans="1:12" ht="14.5">
      <c r="A54" s="18"/>
      <c r="G54" s="42"/>
      <c r="H54" s="18"/>
      <c r="I54" s="18"/>
      <c r="J54" s="18"/>
      <c r="K54" s="18"/>
    </row>
    <row r="55" spans="1:12" ht="14.5">
      <c r="G55" s="42"/>
      <c r="H55" s="33"/>
    </row>
    <row r="56" spans="1:12" ht="14.5">
      <c r="G56" s="42"/>
    </row>
  </sheetData>
  <autoFilter ref="A12:T50" xr:uid="{89A424FF-E8A9-492B-9E5B-5420BF6E6F4F}"/>
  <mergeCells count="1">
    <mergeCell ref="B53:J53"/>
  </mergeCells>
  <conditionalFormatting sqref="K13:K50">
    <cfRule type="cellIs" dxfId="0" priority="1" operator="equal">
      <formula>"Verificar"</formula>
    </cfRule>
  </conditionalFormatting>
  <dataValidations count="1">
    <dataValidation type="list" allowBlank="1" showInputMessage="1" showErrorMessage="1" sqref="D13:D50" xr:uid="{1340D171-B0EB-4CB4-8A3D-30DF3CEDD27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CEB-313D-4598-AA07-4D8F3292CC74}">
  <dimension ref="A2:AL87"/>
  <sheetViews>
    <sheetView showGridLines="0" zoomScale="85" zoomScaleNormal="85" workbookViewId="0">
      <pane xSplit="5" ySplit="13" topLeftCell="F63" activePane="bottomRight" state="frozen"/>
      <selection pane="topRight" activeCell="F1" sqref="F1"/>
      <selection pane="bottomLeft" activeCell="A14" sqref="A14"/>
      <selection pane="bottomRight" activeCell="G77" sqref="G77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36" width="23" style="14" customWidth="1"/>
    <col min="37" max="16384" width="8.7265625" style="14"/>
  </cols>
  <sheetData>
    <row r="2" spans="1:38" ht="24">
      <c r="B2" s="57" t="s">
        <v>14</v>
      </c>
      <c r="C2" s="57"/>
      <c r="D2" s="16"/>
      <c r="E2" s="57"/>
      <c r="F2" s="57"/>
      <c r="G2" s="57"/>
      <c r="H2" s="15"/>
      <c r="I2" s="1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8" ht="7.5" customHeight="1">
      <c r="A3" s="18"/>
      <c r="B3" s="19"/>
      <c r="C3" s="19"/>
      <c r="D3" s="19"/>
      <c r="E3" s="19"/>
      <c r="F3" s="19"/>
      <c r="G3" s="19"/>
      <c r="H3" s="19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6" hidden="1">
      <c r="A4" s="18"/>
      <c r="B4" s="56" t="s">
        <v>6</v>
      </c>
      <c r="C4" s="56"/>
      <c r="D4" s="56" t="s">
        <v>30</v>
      </c>
      <c r="E4" s="56"/>
      <c r="F4" s="56"/>
      <c r="G4" s="56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8" ht="16" hidden="1">
      <c r="A5" s="18"/>
      <c r="B5" s="56" t="s">
        <v>0</v>
      </c>
      <c r="C5" s="56"/>
      <c r="D5" s="56" t="s">
        <v>33</v>
      </c>
      <c r="E5" s="56"/>
      <c r="F5" s="56"/>
      <c r="G5" s="56"/>
      <c r="H5" s="20"/>
      <c r="I5" s="20"/>
      <c r="J5" s="21"/>
      <c r="K5" s="21"/>
      <c r="L5" s="21"/>
      <c r="M5" s="21"/>
      <c r="N5" s="21"/>
      <c r="O5" s="21"/>
      <c r="P5" s="21"/>
      <c r="Q5" s="21"/>
      <c r="R5" s="2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8" ht="16" hidden="1">
      <c r="A6" s="18"/>
      <c r="B6" s="56" t="s">
        <v>1</v>
      </c>
      <c r="C6" s="56"/>
      <c r="D6" s="78" t="s">
        <v>6</v>
      </c>
      <c r="E6" s="78" t="s">
        <v>54</v>
      </c>
      <c r="F6" s="78" t="s">
        <v>52</v>
      </c>
      <c r="G6" s="78" t="s">
        <v>53</v>
      </c>
      <c r="H6" s="20"/>
      <c r="I6" s="20"/>
      <c r="J6" s="21"/>
      <c r="K6" s="21"/>
      <c r="L6" s="21"/>
      <c r="M6" s="21"/>
      <c r="N6" s="21"/>
      <c r="O6" s="21"/>
      <c r="P6" s="21"/>
      <c r="Q6" s="21"/>
      <c r="R6" s="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8" ht="16" hidden="1">
      <c r="A7" s="18"/>
      <c r="B7" s="56"/>
      <c r="C7" s="56"/>
      <c r="D7" s="79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8" ht="16" hidden="1">
      <c r="A8" s="18"/>
      <c r="B8" s="56"/>
      <c r="C8" s="56"/>
      <c r="D8" s="79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8" ht="16" hidden="1">
      <c r="A9" s="18"/>
      <c r="B9" s="56"/>
      <c r="C9" s="56"/>
      <c r="D9" s="79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8" ht="16" hidden="1">
      <c r="A10" s="18"/>
      <c r="B10" s="56"/>
      <c r="C10" s="56"/>
      <c r="D10" s="80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8" ht="16" hidden="1">
      <c r="A11" s="18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30" customHeight="1">
      <c r="A12" s="27"/>
      <c r="B12" s="91" t="s">
        <v>35</v>
      </c>
      <c r="C12" s="91" t="s">
        <v>16</v>
      </c>
      <c r="D12" s="91" t="s">
        <v>36</v>
      </c>
      <c r="E12" s="91" t="s">
        <v>39</v>
      </c>
      <c r="F12" s="28" t="s">
        <v>66</v>
      </c>
      <c r="G12" s="28" t="s">
        <v>67</v>
      </c>
      <c r="H12" s="28" t="s">
        <v>74</v>
      </c>
      <c r="I12" s="28" t="s">
        <v>75</v>
      </c>
      <c r="J12" s="28" t="s">
        <v>76</v>
      </c>
      <c r="K12" s="28" t="s">
        <v>65</v>
      </c>
      <c r="L12" s="28" t="s">
        <v>68</v>
      </c>
      <c r="M12" s="28" t="s">
        <v>190</v>
      </c>
      <c r="N12" s="28" t="s">
        <v>64</v>
      </c>
      <c r="O12" s="28" t="s">
        <v>77</v>
      </c>
      <c r="P12" s="28" t="s">
        <v>88</v>
      </c>
      <c r="Q12" s="28" t="s">
        <v>89</v>
      </c>
      <c r="R12" s="28" t="s">
        <v>125</v>
      </c>
      <c r="S12" s="28" t="s">
        <v>126</v>
      </c>
      <c r="T12" s="28" t="s">
        <v>127</v>
      </c>
      <c r="U12" s="28" t="s">
        <v>131</v>
      </c>
      <c r="V12" s="28" t="s">
        <v>130</v>
      </c>
      <c r="W12" s="28" t="s">
        <v>84</v>
      </c>
      <c r="X12" s="28" t="s">
        <v>143</v>
      </c>
      <c r="Y12" s="28" t="s">
        <v>144</v>
      </c>
      <c r="Z12" s="28" t="s">
        <v>146</v>
      </c>
      <c r="AA12" s="28" t="s">
        <v>148</v>
      </c>
      <c r="AB12" s="28" t="s">
        <v>62</v>
      </c>
      <c r="AC12" s="28" t="s">
        <v>151</v>
      </c>
      <c r="AD12" s="28" t="s">
        <v>153</v>
      </c>
      <c r="AE12" s="28" t="s">
        <v>153</v>
      </c>
      <c r="AF12" s="28" t="s">
        <v>164</v>
      </c>
      <c r="AG12" s="28" t="s">
        <v>225</v>
      </c>
      <c r="AH12" s="28" t="s">
        <v>80</v>
      </c>
      <c r="AI12" s="28" t="s">
        <v>227</v>
      </c>
      <c r="AJ12" s="28" t="s">
        <v>3</v>
      </c>
    </row>
    <row r="13" spans="1:38" ht="17.25" customHeight="1">
      <c r="A13" s="27"/>
      <c r="B13" s="91"/>
      <c r="C13" s="91"/>
      <c r="D13" s="91"/>
      <c r="E13" s="91"/>
      <c r="F13" s="68" t="s">
        <v>104</v>
      </c>
      <c r="G13" s="68" t="s">
        <v>101</v>
      </c>
      <c r="H13" s="68" t="s">
        <v>99</v>
      </c>
      <c r="I13" s="68" t="s">
        <v>100</v>
      </c>
      <c r="J13" s="68" t="s">
        <v>105</v>
      </c>
      <c r="K13" s="68" t="s">
        <v>102</v>
      </c>
      <c r="L13" s="68" t="s">
        <v>103</v>
      </c>
      <c r="M13" s="68" t="s">
        <v>189</v>
      </c>
      <c r="N13" s="68" t="s">
        <v>117</v>
      </c>
      <c r="O13" s="68" t="s">
        <v>118</v>
      </c>
      <c r="P13" s="68" t="s">
        <v>119</v>
      </c>
      <c r="Q13" s="68" t="s">
        <v>120</v>
      </c>
      <c r="R13" s="68" t="s">
        <v>129</v>
      </c>
      <c r="S13" s="68" t="s">
        <v>133</v>
      </c>
      <c r="T13" s="68" t="s">
        <v>134</v>
      </c>
      <c r="U13" s="68" t="s">
        <v>128</v>
      </c>
      <c r="V13" s="68" t="s">
        <v>132</v>
      </c>
      <c r="W13" s="68" t="s">
        <v>93</v>
      </c>
      <c r="X13" s="68" t="s">
        <v>142</v>
      </c>
      <c r="Y13" s="68" t="s">
        <v>145</v>
      </c>
      <c r="Z13" s="68" t="s">
        <v>147</v>
      </c>
      <c r="AA13" s="68" t="s">
        <v>149</v>
      </c>
      <c r="AB13" s="68" t="s">
        <v>115</v>
      </c>
      <c r="AC13" s="68" t="s">
        <v>152</v>
      </c>
      <c r="AD13" s="68" t="s">
        <v>154</v>
      </c>
      <c r="AE13" s="68" t="s">
        <v>191</v>
      </c>
      <c r="AF13" s="68" t="s">
        <v>157</v>
      </c>
      <c r="AG13" s="68" t="s">
        <v>226</v>
      </c>
      <c r="AH13" s="68" t="s">
        <v>98</v>
      </c>
      <c r="AI13" s="68" t="s">
        <v>228</v>
      </c>
      <c r="AJ13" s="68" t="s">
        <v>91</v>
      </c>
    </row>
    <row r="14" spans="1:38" ht="14.5">
      <c r="A14" s="18"/>
      <c r="B14" s="50">
        <v>44657</v>
      </c>
      <c r="C14" s="50">
        <v>44665</v>
      </c>
      <c r="D14" s="51" t="s">
        <v>29</v>
      </c>
      <c r="E14" s="51">
        <f t="shared" ref="E14:E48" si="1">SUM(F14:AJ14)</f>
        <v>5625056.6500000004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5625056.6500000004</v>
      </c>
    </row>
    <row r="15" spans="1:38" ht="14.5">
      <c r="A15" s="18"/>
      <c r="B15" s="50">
        <v>44691</v>
      </c>
      <c r="C15" s="50">
        <v>44694</v>
      </c>
      <c r="D15" s="51" t="s">
        <v>32</v>
      </c>
      <c r="E15" s="51">
        <f t="shared" si="1"/>
        <v>6343623.5</v>
      </c>
      <c r="F15" s="51">
        <v>271219.76</v>
      </c>
      <c r="G15" s="51">
        <v>1079649.03</v>
      </c>
      <c r="H15" s="51">
        <v>2523873.2000000002</v>
      </c>
      <c r="I15" s="51">
        <v>1339970.1299999999</v>
      </c>
      <c r="J15" s="51">
        <v>574592.69999999995</v>
      </c>
      <c r="K15" s="51">
        <v>47384.1</v>
      </c>
      <c r="L15" s="51">
        <v>96934.58</v>
      </c>
      <c r="M15" s="51">
        <v>0</v>
      </c>
      <c r="N15" s="51">
        <v>410000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</row>
    <row r="16" spans="1:38" ht="14.5">
      <c r="A16" s="18"/>
      <c r="B16" s="50">
        <v>44691</v>
      </c>
      <c r="C16" s="50">
        <v>44701</v>
      </c>
      <c r="D16" s="51" t="s">
        <v>32</v>
      </c>
      <c r="E16" s="51">
        <f t="shared" si="1"/>
        <v>351276.22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351276.22</v>
      </c>
    </row>
    <row r="17" spans="1:36" ht="14.5">
      <c r="A17" s="18"/>
      <c r="B17" s="50">
        <v>44691</v>
      </c>
      <c r="C17" s="50">
        <v>44712</v>
      </c>
      <c r="D17" s="51" t="s">
        <v>32</v>
      </c>
      <c r="E17" s="51">
        <f t="shared" si="1"/>
        <v>975623.76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975623.76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</row>
    <row r="18" spans="1:36" ht="14.5">
      <c r="A18" s="18"/>
      <c r="B18" s="50">
        <v>44701</v>
      </c>
      <c r="C18" s="50">
        <v>44712</v>
      </c>
      <c r="D18" s="51" t="s">
        <v>31</v>
      </c>
      <c r="E18" s="51">
        <f t="shared" si="1"/>
        <v>5223874.4399999995</v>
      </c>
      <c r="F18" s="51">
        <v>125935.73</v>
      </c>
      <c r="G18" s="51">
        <v>889420.17</v>
      </c>
      <c r="H18" s="51">
        <v>1828561.74</v>
      </c>
      <c r="I18" s="51">
        <v>1586758.19</v>
      </c>
      <c r="J18" s="51">
        <v>328241.55</v>
      </c>
      <c r="K18" s="51">
        <v>47148.3</v>
      </c>
      <c r="L18" s="51">
        <v>48467.29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f>137024.51+174391.98+57924.98</f>
        <v>369341.47</v>
      </c>
    </row>
    <row r="19" spans="1:36" ht="14.5">
      <c r="A19" s="18"/>
      <c r="B19" s="50">
        <v>44796</v>
      </c>
      <c r="C19" s="50">
        <v>44804</v>
      </c>
      <c r="D19" s="51" t="s">
        <v>29</v>
      </c>
      <c r="E19" s="51">
        <f t="shared" si="1"/>
        <v>6742260.8700000001</v>
      </c>
      <c r="F19" s="51">
        <v>188903.58</v>
      </c>
      <c r="G19" s="51">
        <v>2525275.7400000002</v>
      </c>
      <c r="H19" s="51">
        <v>0</v>
      </c>
      <c r="I19" s="51">
        <v>1638217.5</v>
      </c>
      <c r="J19" s="51">
        <v>607627.06999999995</v>
      </c>
      <c r="K19" s="51">
        <v>0</v>
      </c>
      <c r="L19" s="51">
        <v>96934.58</v>
      </c>
      <c r="M19" s="51">
        <v>0</v>
      </c>
      <c r="N19" s="51">
        <v>285862.5</v>
      </c>
      <c r="O19" s="51">
        <v>517482.26</v>
      </c>
      <c r="P19" s="51">
        <v>354335.55</v>
      </c>
      <c r="Q19" s="51">
        <v>84403.26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443218.83</v>
      </c>
    </row>
    <row r="20" spans="1:36" ht="14.5">
      <c r="A20" s="18"/>
      <c r="B20" s="50">
        <v>44796</v>
      </c>
      <c r="C20" s="50">
        <v>44804</v>
      </c>
      <c r="D20" s="51" t="s">
        <v>32</v>
      </c>
      <c r="E20" s="51">
        <f t="shared" si="1"/>
        <v>7061734.5300000003</v>
      </c>
      <c r="F20" s="51">
        <v>271219.76</v>
      </c>
      <c r="G20" s="51">
        <v>1044171.83</v>
      </c>
      <c r="H20" s="51">
        <v>795083.53</v>
      </c>
      <c r="I20" s="51">
        <v>2630297.79</v>
      </c>
      <c r="J20" s="51">
        <v>217102.97</v>
      </c>
      <c r="K20" s="51">
        <v>0</v>
      </c>
      <c r="L20" s="51">
        <v>0</v>
      </c>
      <c r="M20" s="51">
        <v>0</v>
      </c>
      <c r="N20" s="51">
        <v>820000</v>
      </c>
      <c r="O20" s="51">
        <v>487811.88</v>
      </c>
      <c r="P20" s="51">
        <v>437111.4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358935.37</v>
      </c>
    </row>
    <row r="21" spans="1:36" ht="14.5">
      <c r="A21" s="18"/>
      <c r="B21" s="50">
        <v>44797</v>
      </c>
      <c r="C21" s="50">
        <v>44804</v>
      </c>
      <c r="D21" s="51" t="s">
        <v>31</v>
      </c>
      <c r="E21" s="51">
        <f t="shared" si="1"/>
        <v>6315547.5700000003</v>
      </c>
      <c r="F21" s="51">
        <v>377806.99</v>
      </c>
      <c r="G21" s="51">
        <v>560876.77</v>
      </c>
      <c r="H21" s="51">
        <v>574155.76</v>
      </c>
      <c r="I21" s="51">
        <v>2189783.61</v>
      </c>
      <c r="J21" s="51">
        <v>410244.27</v>
      </c>
      <c r="K21" s="51">
        <v>0</v>
      </c>
      <c r="L21" s="51">
        <v>48467.29</v>
      </c>
      <c r="M21" s="51">
        <v>0</v>
      </c>
      <c r="N21" s="51">
        <v>857587.5</v>
      </c>
      <c r="O21" s="51">
        <v>480053.73</v>
      </c>
      <c r="P21" s="51">
        <v>400360.74</v>
      </c>
      <c r="Q21" s="51">
        <v>84403.26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331807.65000000002</v>
      </c>
    </row>
    <row r="22" spans="1:36" ht="14.5">
      <c r="A22" s="18"/>
      <c r="B22" s="50">
        <v>44859</v>
      </c>
      <c r="C22" s="50">
        <v>44865</v>
      </c>
      <c r="D22" s="51" t="s">
        <v>29</v>
      </c>
      <c r="E22" s="51">
        <f t="shared" si="1"/>
        <v>6365782.8400000008</v>
      </c>
      <c r="F22" s="51">
        <v>62967.71</v>
      </c>
      <c r="G22" s="51">
        <v>767387.74</v>
      </c>
      <c r="H22" s="51">
        <v>2394135.7599999998</v>
      </c>
      <c r="I22" s="51">
        <v>2365775.46</v>
      </c>
      <c r="J22" s="51">
        <v>196617.9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269574.37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309323.90000000002</v>
      </c>
    </row>
    <row r="23" spans="1:36" ht="14.5">
      <c r="A23" s="18"/>
      <c r="B23" s="50">
        <v>44859</v>
      </c>
      <c r="C23" s="50">
        <v>44865</v>
      </c>
      <c r="D23" s="51" t="s">
        <v>31</v>
      </c>
      <c r="E23" s="51">
        <f t="shared" si="1"/>
        <v>3600831.0500000003</v>
      </c>
      <c r="F23" s="51">
        <v>125935.66</v>
      </c>
      <c r="G23" s="51">
        <v>763507.16</v>
      </c>
      <c r="H23" s="51">
        <v>0</v>
      </c>
      <c r="I23" s="51">
        <v>2111184.85</v>
      </c>
      <c r="J23" s="51">
        <v>179219.53</v>
      </c>
      <c r="K23" s="51">
        <v>110012.7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61047.37</v>
      </c>
      <c r="V23" s="51">
        <v>9869.85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f>80147.16+141093.67+18813.1</f>
        <v>240053.93000000002</v>
      </c>
    </row>
    <row r="24" spans="1:36" ht="14.5">
      <c r="A24" s="18"/>
      <c r="B24" s="50">
        <v>44859</v>
      </c>
      <c r="C24" s="50">
        <v>44895</v>
      </c>
      <c r="D24" s="51" t="s">
        <v>31</v>
      </c>
      <c r="E24" s="51">
        <f t="shared" si="1"/>
        <v>229394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112194</v>
      </c>
      <c r="S24" s="51">
        <v>117200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</row>
    <row r="25" spans="1:36" ht="14.5">
      <c r="A25" s="18"/>
      <c r="B25" s="50">
        <v>44859</v>
      </c>
      <c r="C25" s="50">
        <v>44895</v>
      </c>
      <c r="D25" s="51" t="s">
        <v>29</v>
      </c>
      <c r="E25" s="51">
        <f t="shared" si="1"/>
        <v>273253.59999999998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156053.6</v>
      </c>
      <c r="S25" s="51">
        <v>117200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</row>
    <row r="26" spans="1:36" ht="14.5">
      <c r="A26" s="18"/>
      <c r="B26" s="50">
        <v>44859</v>
      </c>
      <c r="C26" s="50">
        <v>44909</v>
      </c>
      <c r="D26" s="51" t="s">
        <v>31</v>
      </c>
      <c r="E26" s="51">
        <f t="shared" si="1"/>
        <v>405770.43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405770.43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</row>
    <row r="27" spans="1:36" ht="14.5">
      <c r="A27" s="18"/>
      <c r="B27" s="50">
        <v>44859</v>
      </c>
      <c r="C27" s="50">
        <v>44909</v>
      </c>
      <c r="D27" s="51" t="s">
        <v>29</v>
      </c>
      <c r="E27" s="51">
        <f t="shared" si="1"/>
        <v>204330.5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204330.5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</row>
    <row r="28" spans="1:36" ht="14.5">
      <c r="A28" s="18"/>
      <c r="B28" s="50">
        <v>44895</v>
      </c>
      <c r="C28" s="50">
        <v>44909</v>
      </c>
      <c r="D28" s="51" t="s">
        <v>32</v>
      </c>
      <c r="E28" s="51">
        <f t="shared" si="1"/>
        <v>12290965.17</v>
      </c>
      <c r="F28" s="51">
        <v>135609.88</v>
      </c>
      <c r="G28" s="51">
        <v>1456247.43</v>
      </c>
      <c r="H28" s="51">
        <v>0</v>
      </c>
      <c r="I28" s="51">
        <v>2431963.33</v>
      </c>
      <c r="J28" s="51">
        <v>235454.25</v>
      </c>
      <c r="K28" s="51">
        <v>110562.9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84403.26</v>
      </c>
      <c r="R28" s="51">
        <v>447534</v>
      </c>
      <c r="S28" s="51">
        <v>117200</v>
      </c>
      <c r="T28" s="51">
        <v>6322552.5499999998</v>
      </c>
      <c r="U28" s="51">
        <v>269574.37</v>
      </c>
      <c r="V28" s="51">
        <v>13817.82</v>
      </c>
      <c r="W28" s="51">
        <v>16254</v>
      </c>
      <c r="X28" s="51">
        <v>9446.4</v>
      </c>
      <c r="Y28" s="51">
        <v>0</v>
      </c>
      <c r="Z28" s="51">
        <v>0</v>
      </c>
      <c r="AA28" s="51">
        <v>0</v>
      </c>
      <c r="AB28" s="51">
        <v>247630.36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392714.62</v>
      </c>
    </row>
    <row r="29" spans="1:36" ht="14.5">
      <c r="A29" s="18"/>
      <c r="B29" s="50">
        <v>44903</v>
      </c>
      <c r="C29" s="50">
        <v>44909</v>
      </c>
      <c r="D29" s="51" t="s">
        <v>31</v>
      </c>
      <c r="E29" s="51">
        <f t="shared" si="1"/>
        <v>6874205.1499999994</v>
      </c>
      <c r="F29" s="51">
        <v>0</v>
      </c>
      <c r="G29" s="51">
        <v>1076268.06</v>
      </c>
      <c r="H29" s="51">
        <v>0</v>
      </c>
      <c r="I29" s="51">
        <v>1745649.63</v>
      </c>
      <c r="J29" s="51">
        <v>310507.26</v>
      </c>
      <c r="K29" s="51">
        <v>157161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2239465.88</v>
      </c>
      <c r="U29" s="51">
        <v>208527</v>
      </c>
      <c r="V29" s="51">
        <v>700128.67</v>
      </c>
      <c r="W29" s="51">
        <v>16254</v>
      </c>
      <c r="X29" s="51">
        <v>16806.72</v>
      </c>
      <c r="Y29" s="51">
        <v>0</v>
      </c>
      <c r="Z29" s="51">
        <v>0</v>
      </c>
      <c r="AA29" s="51">
        <v>0</v>
      </c>
      <c r="AB29" s="51">
        <v>53551.67</v>
      </c>
      <c r="AC29" s="51">
        <v>0</v>
      </c>
      <c r="AD29" s="51">
        <v>84981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264904.26</v>
      </c>
    </row>
    <row r="30" spans="1:36" ht="14.5">
      <c r="A30" s="18"/>
      <c r="B30" s="50">
        <v>44903</v>
      </c>
      <c r="C30" s="50">
        <v>44909</v>
      </c>
      <c r="D30" s="51" t="s">
        <v>29</v>
      </c>
      <c r="E30" s="51">
        <f t="shared" si="1"/>
        <v>6774508.4700000007</v>
      </c>
      <c r="F30" s="51">
        <v>0</v>
      </c>
      <c r="G30" s="51">
        <v>1107277.95</v>
      </c>
      <c r="H30" s="51">
        <v>0</v>
      </c>
      <c r="I30" s="51">
        <v>1881421.12</v>
      </c>
      <c r="J30" s="51">
        <v>290814.93</v>
      </c>
      <c r="K30" s="51">
        <v>330643.20000000001</v>
      </c>
      <c r="L30" s="51">
        <v>72700.929999999993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1835282.23</v>
      </c>
      <c r="U30" s="51">
        <v>0</v>
      </c>
      <c r="V30" s="51">
        <v>728504.05</v>
      </c>
      <c r="W30" s="51">
        <v>8127</v>
      </c>
      <c r="X30" s="51">
        <v>8383.68</v>
      </c>
      <c r="Y30" s="51">
        <v>0</v>
      </c>
      <c r="Z30" s="51">
        <v>0</v>
      </c>
      <c r="AA30" s="51">
        <v>0</v>
      </c>
      <c r="AB30" s="51">
        <v>73344.28</v>
      </c>
      <c r="AC30" s="51">
        <v>0</v>
      </c>
      <c r="AD30" s="51">
        <v>133354.79999999999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304654.3</v>
      </c>
    </row>
    <row r="31" spans="1:36" ht="14.5">
      <c r="A31" s="18"/>
      <c r="B31" s="50">
        <v>44895</v>
      </c>
      <c r="C31" s="50">
        <v>44957</v>
      </c>
      <c r="D31" s="51" t="s">
        <v>32</v>
      </c>
      <c r="E31" s="51">
        <f t="shared" si="1"/>
        <v>51418.04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51418.04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</row>
    <row r="32" spans="1:36" ht="14.5">
      <c r="A32" s="18"/>
      <c r="B32" s="50">
        <v>44903</v>
      </c>
      <c r="C32" s="50">
        <v>44957</v>
      </c>
      <c r="D32" s="51" t="s">
        <v>31</v>
      </c>
      <c r="E32" s="51">
        <f t="shared" si="1"/>
        <v>72454.8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50595.15</v>
      </c>
      <c r="AA32" s="51">
        <v>0</v>
      </c>
      <c r="AB32" s="51">
        <v>0</v>
      </c>
      <c r="AC32" s="51">
        <v>21859.65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</row>
    <row r="33" spans="1:36" ht="14.5">
      <c r="A33" s="18"/>
      <c r="B33" s="50">
        <v>44903</v>
      </c>
      <c r="C33" s="50">
        <v>44957</v>
      </c>
      <c r="D33" s="51" t="s">
        <v>29</v>
      </c>
      <c r="E33" s="51">
        <f t="shared" si="1"/>
        <v>47611.86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35337.660000000003</v>
      </c>
      <c r="AA33" s="51">
        <v>0</v>
      </c>
      <c r="AB33" s="51">
        <v>0</v>
      </c>
      <c r="AC33" s="51">
        <v>12274.2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</row>
    <row r="34" spans="1:36" ht="14.5">
      <c r="A34" s="18"/>
      <c r="B34" s="50">
        <v>44951</v>
      </c>
      <c r="C34" s="50">
        <v>44957</v>
      </c>
      <c r="D34" s="51" t="s">
        <v>32</v>
      </c>
      <c r="E34" s="51">
        <f t="shared" si="1"/>
        <v>9991828.8400000017</v>
      </c>
      <c r="F34" s="51">
        <v>0</v>
      </c>
      <c r="G34" s="51">
        <v>1191473.01</v>
      </c>
      <c r="H34" s="51">
        <v>1224279.3899999999</v>
      </c>
      <c r="I34" s="51">
        <v>1564985.25</v>
      </c>
      <c r="J34" s="51">
        <v>583440.59</v>
      </c>
      <c r="K34" s="51">
        <v>157947</v>
      </c>
      <c r="L34" s="51">
        <v>0</v>
      </c>
      <c r="M34" s="51">
        <v>0</v>
      </c>
      <c r="N34" s="51">
        <v>3280000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704076.58</v>
      </c>
      <c r="W34" s="51">
        <v>16254</v>
      </c>
      <c r="X34" s="51">
        <v>9446.4</v>
      </c>
      <c r="Y34" s="51">
        <v>0</v>
      </c>
      <c r="Z34" s="51">
        <v>0</v>
      </c>
      <c r="AA34" s="51">
        <v>0</v>
      </c>
      <c r="AB34" s="51">
        <v>990521.3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269405.32</v>
      </c>
    </row>
    <row r="35" spans="1:36" ht="14.5">
      <c r="A35" s="18"/>
      <c r="B35" s="50">
        <v>44951</v>
      </c>
      <c r="C35" s="50">
        <v>44985</v>
      </c>
      <c r="D35" s="51" t="s">
        <v>32</v>
      </c>
      <c r="E35" s="51">
        <f t="shared" si="1"/>
        <v>404640.3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404640.3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</row>
    <row r="36" spans="1:36" ht="14.5">
      <c r="A36" s="18"/>
      <c r="B36" s="50">
        <v>44979</v>
      </c>
      <c r="C36" s="50">
        <v>44985</v>
      </c>
      <c r="D36" s="51" t="s">
        <v>29</v>
      </c>
      <c r="E36" s="51">
        <f t="shared" si="1"/>
        <v>6850911.2600000007</v>
      </c>
      <c r="F36" s="51">
        <v>0</v>
      </c>
      <c r="G36" s="51">
        <v>679035.57</v>
      </c>
      <c r="H36" s="51">
        <v>1683771.35</v>
      </c>
      <c r="I36" s="51">
        <v>1437266.08</v>
      </c>
      <c r="J36" s="51">
        <v>303795.75</v>
      </c>
      <c r="K36" s="51">
        <v>0</v>
      </c>
      <c r="L36" s="51">
        <v>315037.37</v>
      </c>
      <c r="M36" s="51">
        <v>0</v>
      </c>
      <c r="N36" s="51">
        <v>0</v>
      </c>
      <c r="O36" s="51">
        <v>1936310.27</v>
      </c>
      <c r="P36" s="51">
        <v>0</v>
      </c>
      <c r="Q36" s="51">
        <v>0</v>
      </c>
      <c r="R36" s="51">
        <v>0</v>
      </c>
      <c r="S36" s="51">
        <v>0</v>
      </c>
      <c r="T36" s="51">
        <v>9276.82</v>
      </c>
      <c r="U36" s="51">
        <v>0</v>
      </c>
      <c r="V36" s="51">
        <v>0</v>
      </c>
      <c r="W36" s="51">
        <v>8127</v>
      </c>
      <c r="X36" s="51">
        <v>0</v>
      </c>
      <c r="Y36" s="51">
        <v>0</v>
      </c>
      <c r="Z36" s="51">
        <v>11779.22</v>
      </c>
      <c r="AA36" s="51">
        <v>0</v>
      </c>
      <c r="AB36" s="51">
        <v>293377.03000000003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173134.8</v>
      </c>
    </row>
    <row r="37" spans="1:36" ht="14.5">
      <c r="A37" s="18"/>
      <c r="B37" s="50">
        <v>44979</v>
      </c>
      <c r="C37" s="50">
        <v>44985</v>
      </c>
      <c r="D37" s="51" t="s">
        <v>31</v>
      </c>
      <c r="E37" s="51">
        <f t="shared" si="1"/>
        <v>6351731.3599999994</v>
      </c>
      <c r="F37" s="51">
        <v>0</v>
      </c>
      <c r="G37" s="51">
        <v>816242.2</v>
      </c>
      <c r="H37" s="51">
        <v>770950.75</v>
      </c>
      <c r="I37" s="51">
        <v>1617078.55</v>
      </c>
      <c r="J37" s="51">
        <v>21700.31</v>
      </c>
      <c r="K37" s="51">
        <v>0</v>
      </c>
      <c r="L37" s="51">
        <v>387738.3</v>
      </c>
      <c r="M37" s="51">
        <v>0</v>
      </c>
      <c r="N37" s="51">
        <v>2286900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6407.5</v>
      </c>
      <c r="U37" s="51">
        <v>0</v>
      </c>
      <c r="V37" s="51">
        <v>0</v>
      </c>
      <c r="W37" s="51">
        <v>16254</v>
      </c>
      <c r="X37" s="51">
        <v>0</v>
      </c>
      <c r="Y37" s="51">
        <v>0</v>
      </c>
      <c r="Z37" s="51">
        <v>16865.05</v>
      </c>
      <c r="AA37" s="51">
        <v>0</v>
      </c>
      <c r="AB37" s="51">
        <v>214206.61</v>
      </c>
      <c r="AC37" s="51">
        <v>7286.55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190101.54</v>
      </c>
    </row>
    <row r="38" spans="1:36" ht="14.5">
      <c r="A38" s="18"/>
      <c r="B38" s="50">
        <v>44951</v>
      </c>
      <c r="C38" s="50">
        <v>44999</v>
      </c>
      <c r="D38" s="51" t="s">
        <v>32</v>
      </c>
      <c r="E38" s="51">
        <f t="shared" ref="E38" si="2">SUM(F38:AJ38)</f>
        <v>72700.929999999993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72700.929999999993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/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ht="14.5">
      <c r="A39" s="18"/>
      <c r="B39" s="50">
        <v>44895</v>
      </c>
      <c r="C39" s="50">
        <v>45016</v>
      </c>
      <c r="D39" s="51" t="s">
        <v>32</v>
      </c>
      <c r="E39" s="51">
        <f t="shared" si="1"/>
        <v>41983.82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16400</v>
      </c>
      <c r="AB39" s="51">
        <v>0</v>
      </c>
      <c r="AC39" s="51">
        <v>25583.82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</row>
    <row r="40" spans="1:36" ht="14.5">
      <c r="A40" s="18"/>
      <c r="B40" s="50">
        <v>44903</v>
      </c>
      <c r="C40" s="50">
        <v>45016</v>
      </c>
      <c r="D40" s="51" t="s">
        <v>31</v>
      </c>
      <c r="E40" s="51">
        <f t="shared" ref="E40" si="3">SUM(F40:AJ40)</f>
        <v>41000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41000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</row>
    <row r="41" spans="1:36" ht="14.5">
      <c r="A41" s="18"/>
      <c r="B41" s="50">
        <v>44903</v>
      </c>
      <c r="C41" s="50">
        <v>45016</v>
      </c>
      <c r="D41" s="51" t="s">
        <v>29</v>
      </c>
      <c r="E41" s="51">
        <f t="shared" ref="E41:E42" si="4">SUM(F41:AJ41)</f>
        <v>20500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20500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</row>
    <row r="42" spans="1:36" ht="14.5">
      <c r="A42" s="18"/>
      <c r="B42" s="50">
        <v>44951</v>
      </c>
      <c r="C42" s="50">
        <v>45016</v>
      </c>
      <c r="D42" s="51" t="s">
        <v>32</v>
      </c>
      <c r="E42" s="51">
        <f t="shared" si="4"/>
        <v>24600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24600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</row>
    <row r="43" spans="1:36" ht="14.5">
      <c r="A43" s="18"/>
      <c r="B43" s="50">
        <v>45009</v>
      </c>
      <c r="C43" s="50">
        <v>45016</v>
      </c>
      <c r="D43" s="51" t="s">
        <v>31</v>
      </c>
      <c r="E43" s="51">
        <f>SUM(F43:AJ43)</f>
        <v>4246211.91</v>
      </c>
      <c r="F43" s="51">
        <v>0</v>
      </c>
      <c r="G43" s="51">
        <v>768627.24</v>
      </c>
      <c r="H43" s="51">
        <v>416605.41</v>
      </c>
      <c r="I43" s="51">
        <v>254281.81</v>
      </c>
      <c r="J43" s="51">
        <v>61453.2</v>
      </c>
      <c r="K43" s="51">
        <v>0</v>
      </c>
      <c r="L43" s="51">
        <v>0</v>
      </c>
      <c r="M43" s="51">
        <v>0</v>
      </c>
      <c r="N43" s="51">
        <v>2572762.5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72928.960000000006</v>
      </c>
      <c r="W43" s="51">
        <v>0</v>
      </c>
      <c r="X43" s="51">
        <v>0</v>
      </c>
      <c r="Y43" s="51">
        <v>0</v>
      </c>
      <c r="Z43" s="51">
        <v>16865.05</v>
      </c>
      <c r="AA43" s="51">
        <v>0</v>
      </c>
      <c r="AB43" s="51">
        <v>0</v>
      </c>
      <c r="AC43" s="51">
        <v>7286.55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75401.19</v>
      </c>
    </row>
    <row r="44" spans="1:36" ht="14.5">
      <c r="A44" s="18"/>
      <c r="B44" s="50">
        <v>45009</v>
      </c>
      <c r="C44" s="50">
        <v>45016</v>
      </c>
      <c r="D44" s="51" t="s">
        <v>29</v>
      </c>
      <c r="E44" s="51">
        <f>SUM(F44:AJ44)</f>
        <v>6633751.0799999991</v>
      </c>
      <c r="F44" s="51">
        <v>0</v>
      </c>
      <c r="G44" s="51">
        <v>1858954.99</v>
      </c>
      <c r="H44" s="51">
        <v>542792.42000000004</v>
      </c>
      <c r="I44" s="51">
        <v>1075959.1299999999</v>
      </c>
      <c r="J44" s="51">
        <v>239419.05</v>
      </c>
      <c r="K44" s="51">
        <v>0</v>
      </c>
      <c r="L44" s="51">
        <v>0</v>
      </c>
      <c r="M44" s="51">
        <v>0</v>
      </c>
      <c r="N44" s="51">
        <v>1143450</v>
      </c>
      <c r="O44" s="51">
        <v>1024248.88</v>
      </c>
      <c r="P44" s="51">
        <v>0</v>
      </c>
      <c r="Q44" s="51">
        <v>0</v>
      </c>
      <c r="R44" s="51">
        <v>0</v>
      </c>
      <c r="S44" s="51">
        <v>0</v>
      </c>
      <c r="T44" s="51">
        <v>510843.24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11779.22</v>
      </c>
      <c r="AA44" s="51">
        <v>0</v>
      </c>
      <c r="AB44" s="51">
        <v>0</v>
      </c>
      <c r="AC44" s="51">
        <v>8182.8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218121.35</v>
      </c>
    </row>
    <row r="45" spans="1:36" ht="14.5">
      <c r="A45" s="18"/>
      <c r="B45" s="50">
        <v>45040</v>
      </c>
      <c r="C45" s="50">
        <v>45044</v>
      </c>
      <c r="D45" s="51" t="s">
        <v>32</v>
      </c>
      <c r="E45" s="51">
        <f>SUM(F45:AJ45)</f>
        <v>8909676</v>
      </c>
      <c r="F45" s="51">
        <v>0</v>
      </c>
      <c r="G45" s="51">
        <v>2260807.41</v>
      </c>
      <c r="H45" s="51">
        <v>878792.88</v>
      </c>
      <c r="I45" s="51">
        <v>1061265.7</v>
      </c>
      <c r="J45" s="51">
        <v>105178.71</v>
      </c>
      <c r="K45" s="51">
        <v>0</v>
      </c>
      <c r="L45" s="51">
        <v>0</v>
      </c>
      <c r="M45" s="51">
        <v>315037.37</v>
      </c>
      <c r="N45" s="51">
        <v>3690000</v>
      </c>
      <c r="O45" s="51">
        <v>361653.94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182383.84</v>
      </c>
      <c r="W45" s="51">
        <v>0</v>
      </c>
      <c r="X45" s="51">
        <v>0</v>
      </c>
      <c r="Y45" s="51">
        <v>0</v>
      </c>
      <c r="Z45" s="51">
        <v>34278.67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20277.48</v>
      </c>
      <c r="AG45" s="51">
        <v>0</v>
      </c>
      <c r="AH45" s="51">
        <v>0</v>
      </c>
      <c r="AI45" s="51">
        <v>0</v>
      </c>
      <c r="AJ45" s="51">
        <v>0</v>
      </c>
    </row>
    <row r="46" spans="1:36" ht="14.5">
      <c r="A46" s="18"/>
      <c r="B46" s="50">
        <v>45040</v>
      </c>
      <c r="C46" s="50">
        <v>45044</v>
      </c>
      <c r="D46" s="51" t="s">
        <v>29</v>
      </c>
      <c r="E46" s="51">
        <f>SUM(F46:AJ46)</f>
        <v>4572132.1399999997</v>
      </c>
      <c r="F46" s="51">
        <v>0</v>
      </c>
      <c r="G46" s="51">
        <v>1498845.33</v>
      </c>
      <c r="H46" s="51">
        <v>183343.46</v>
      </c>
      <c r="I46" s="51">
        <v>1062689.8700000001</v>
      </c>
      <c r="J46" s="51">
        <v>533309.52</v>
      </c>
      <c r="K46" s="51">
        <v>0</v>
      </c>
      <c r="L46" s="51">
        <v>0</v>
      </c>
      <c r="M46" s="51">
        <v>0</v>
      </c>
      <c r="N46" s="51">
        <v>1286381.25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7562.71</v>
      </c>
      <c r="AG46" s="51">
        <v>0</v>
      </c>
      <c r="AH46" s="51">
        <v>0</v>
      </c>
      <c r="AI46" s="51">
        <v>0</v>
      </c>
      <c r="AJ46" s="51">
        <v>0</v>
      </c>
    </row>
    <row r="47" spans="1:36" ht="14.5">
      <c r="A47" s="18"/>
      <c r="B47" s="50">
        <v>44895</v>
      </c>
      <c r="C47" s="50">
        <v>45061</v>
      </c>
      <c r="D47" s="51" t="s">
        <v>32</v>
      </c>
      <c r="E47" s="51">
        <f t="shared" si="1"/>
        <v>12467.3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12467.3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</row>
    <row r="48" spans="1:36" ht="14.5">
      <c r="A48" s="18"/>
      <c r="B48" s="50">
        <v>44903</v>
      </c>
      <c r="C48" s="50">
        <v>45061</v>
      </c>
      <c r="D48" s="51" t="s">
        <v>31</v>
      </c>
      <c r="E48" s="51">
        <f t="shared" si="1"/>
        <v>9661.8799999999992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9661.8799999999992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</row>
    <row r="49" spans="1:36" ht="14.5">
      <c r="A49" s="18"/>
      <c r="B49" s="50">
        <v>44903</v>
      </c>
      <c r="C49" s="50">
        <v>45061</v>
      </c>
      <c r="D49" s="51" t="s">
        <v>29</v>
      </c>
      <c r="E49" s="51">
        <f t="shared" ref="E49:E52" si="5">SUM(F49:AJ49)</f>
        <v>7749.06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7749.06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</row>
    <row r="50" spans="1:36" ht="14.5">
      <c r="A50" s="18"/>
      <c r="B50" s="50">
        <v>44951</v>
      </c>
      <c r="C50" s="50">
        <v>45061</v>
      </c>
      <c r="D50" s="51" t="s">
        <v>32</v>
      </c>
      <c r="E50" s="51">
        <f t="shared" si="5"/>
        <v>6463.98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6463.98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</row>
    <row r="51" spans="1:36" ht="14.5">
      <c r="A51" s="18"/>
      <c r="B51" s="50">
        <v>44979</v>
      </c>
      <c r="C51" s="50">
        <v>45061</v>
      </c>
      <c r="D51" s="51" t="s">
        <v>29</v>
      </c>
      <c r="E51" s="51">
        <f t="shared" si="5"/>
        <v>6081.71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6081.71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</row>
    <row r="52" spans="1:36" ht="14.5">
      <c r="A52" s="18"/>
      <c r="B52" s="50">
        <v>44979</v>
      </c>
      <c r="C52" s="50">
        <v>45061</v>
      </c>
      <c r="D52" s="51" t="s">
        <v>31</v>
      </c>
      <c r="E52" s="51">
        <f t="shared" si="5"/>
        <v>7994.27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7994.27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</row>
    <row r="53" spans="1:36" ht="14.5">
      <c r="A53" s="18"/>
      <c r="B53" s="50">
        <v>45040</v>
      </c>
      <c r="C53" s="50">
        <v>45061</v>
      </c>
      <c r="D53" s="51" t="s">
        <v>32</v>
      </c>
      <c r="E53" s="51">
        <f>SUM(F53:AJ53)</f>
        <v>330245.12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1">
        <v>0</v>
      </c>
      <c r="AI53" s="51">
        <v>0</v>
      </c>
      <c r="AJ53" s="51">
        <v>330245.12</v>
      </c>
    </row>
    <row r="54" spans="1:36" ht="14.5">
      <c r="A54" s="18"/>
      <c r="B54" s="50">
        <v>45040</v>
      </c>
      <c r="C54" s="50">
        <v>45061</v>
      </c>
      <c r="D54" s="51" t="s">
        <v>29</v>
      </c>
      <c r="E54" s="51">
        <f>SUM(F54:AJ54)</f>
        <v>202710.89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0</v>
      </c>
      <c r="AJ54" s="51">
        <v>202710.89</v>
      </c>
    </row>
    <row r="55" spans="1:36" ht="14.5">
      <c r="A55" s="18"/>
      <c r="B55" s="50">
        <v>45084</v>
      </c>
      <c r="C55" s="50">
        <v>45092</v>
      </c>
      <c r="D55" s="51" t="s">
        <v>31</v>
      </c>
      <c r="E55" s="51">
        <f>SUM(F55:AJ55)</f>
        <v>6239845.2999999998</v>
      </c>
      <c r="F55" s="51">
        <v>0</v>
      </c>
      <c r="G55" s="51">
        <v>2993464.97</v>
      </c>
      <c r="H55" s="51">
        <v>336129.65</v>
      </c>
      <c r="I55" s="51">
        <v>684931.26</v>
      </c>
      <c r="J55" s="51">
        <v>194208.67</v>
      </c>
      <c r="K55" s="51">
        <v>0</v>
      </c>
      <c r="L55" s="51">
        <v>0</v>
      </c>
      <c r="M55" s="51">
        <v>0</v>
      </c>
      <c r="N55" s="51">
        <v>0</v>
      </c>
      <c r="O55" s="51">
        <v>1424458.25</v>
      </c>
      <c r="P55" s="51">
        <v>0</v>
      </c>
      <c r="Q55" s="51">
        <v>0</v>
      </c>
      <c r="R55" s="51">
        <v>0</v>
      </c>
      <c r="S55" s="51">
        <v>0</v>
      </c>
      <c r="T55" s="51">
        <v>43145.93</v>
      </c>
      <c r="U55" s="51">
        <v>0</v>
      </c>
      <c r="V55" s="51">
        <v>72928.960000000006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145589.4</v>
      </c>
      <c r="AG55" s="51">
        <v>0</v>
      </c>
      <c r="AH55" s="51">
        <v>0</v>
      </c>
      <c r="AI55" s="51">
        <v>0</v>
      </c>
      <c r="AJ55" s="51">
        <v>344988.21</v>
      </c>
    </row>
    <row r="56" spans="1:36" ht="14.5">
      <c r="A56" s="18"/>
      <c r="B56" s="50">
        <v>45146</v>
      </c>
      <c r="C56" s="50">
        <v>45152</v>
      </c>
      <c r="D56" s="51" t="s">
        <v>32</v>
      </c>
      <c r="E56" s="51">
        <f>SUM(F56:AJ56)</f>
        <v>9744918.1599999964</v>
      </c>
      <c r="F56" s="51">
        <v>0</v>
      </c>
      <c r="G56" s="51">
        <v>2497755.84</v>
      </c>
      <c r="H56" s="51">
        <v>0</v>
      </c>
      <c r="I56" s="51">
        <v>71469.84</v>
      </c>
      <c r="J56" s="51">
        <v>852185.26</v>
      </c>
      <c r="K56" s="51">
        <v>0</v>
      </c>
      <c r="L56" s="51">
        <v>0</v>
      </c>
      <c r="M56" s="51">
        <v>0</v>
      </c>
      <c r="N56" s="51">
        <v>0</v>
      </c>
      <c r="O56" s="51">
        <v>4916166.34</v>
      </c>
      <c r="P56" s="51">
        <v>0</v>
      </c>
      <c r="Q56" s="51">
        <v>0</v>
      </c>
      <c r="R56" s="51">
        <v>42609.599999999999</v>
      </c>
      <c r="S56" s="51">
        <v>0</v>
      </c>
      <c r="T56" s="51">
        <v>673060.87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17055.87</v>
      </c>
      <c r="AD56" s="51">
        <v>0</v>
      </c>
      <c r="AE56" s="51">
        <v>0</v>
      </c>
      <c r="AF56" s="51">
        <v>182497.28</v>
      </c>
      <c r="AG56" s="51">
        <v>123186</v>
      </c>
      <c r="AH56" s="51">
        <v>0</v>
      </c>
      <c r="AI56" s="51">
        <v>0</v>
      </c>
      <c r="AJ56" s="51">
        <v>368931.26</v>
      </c>
    </row>
    <row r="57" spans="1:36" ht="14.5">
      <c r="A57" s="18"/>
      <c r="B57" s="50">
        <v>45161</v>
      </c>
      <c r="C57" s="50">
        <v>45169</v>
      </c>
      <c r="D57" s="51" t="s">
        <v>29</v>
      </c>
      <c r="E57" s="51">
        <f t="shared" ref="E57:E58" si="6">SUM(F57:AJ57)</f>
        <v>2313676.0300000003</v>
      </c>
      <c r="F57" s="51">
        <v>0</v>
      </c>
      <c r="G57" s="51">
        <v>737113.08</v>
      </c>
      <c r="H57" s="51">
        <v>0</v>
      </c>
      <c r="I57" s="51">
        <v>124705.58</v>
      </c>
      <c r="J57" s="51">
        <v>661007.97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7316.8</v>
      </c>
      <c r="S57" s="51">
        <v>0</v>
      </c>
      <c r="T57" s="51">
        <v>553869.49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68064.350000000006</v>
      </c>
      <c r="AG57" s="51">
        <v>20134</v>
      </c>
      <c r="AH57" s="51">
        <v>0</v>
      </c>
      <c r="AI57" s="51">
        <v>0</v>
      </c>
      <c r="AJ57" s="51">
        <v>141464.76</v>
      </c>
    </row>
    <row r="58" spans="1:36" ht="14.5">
      <c r="A58" s="18"/>
      <c r="B58" s="50">
        <v>45161</v>
      </c>
      <c r="C58" s="50">
        <v>45169</v>
      </c>
      <c r="D58" s="51" t="s">
        <v>31</v>
      </c>
      <c r="E58" s="51">
        <f t="shared" si="6"/>
        <v>1443072.3999999997</v>
      </c>
      <c r="F58" s="51">
        <v>0</v>
      </c>
      <c r="G58" s="51">
        <v>637916.35</v>
      </c>
      <c r="H58" s="51">
        <v>0</v>
      </c>
      <c r="I58" s="51">
        <v>41902.89</v>
      </c>
      <c r="J58" s="51">
        <v>561562.32999999996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57527.88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31975</v>
      </c>
      <c r="AH58" s="51">
        <v>0</v>
      </c>
      <c r="AI58" s="51">
        <v>0</v>
      </c>
      <c r="AJ58" s="51">
        <v>112187.95</v>
      </c>
    </row>
    <row r="59" spans="1:36" ht="14.5">
      <c r="A59" s="18"/>
      <c r="B59" s="50">
        <v>45224</v>
      </c>
      <c r="C59" s="50">
        <v>45230</v>
      </c>
      <c r="D59" s="51" t="s">
        <v>29</v>
      </c>
      <c r="E59" s="51">
        <f t="shared" ref="E59:E63" si="7">SUM(F59:AJ59)</f>
        <v>183936.84000000003</v>
      </c>
      <c r="F59" s="51">
        <v>0</v>
      </c>
      <c r="G59" s="51">
        <v>0</v>
      </c>
      <c r="H59" s="51">
        <v>0</v>
      </c>
      <c r="I59" s="51">
        <v>0</v>
      </c>
      <c r="J59" s="51">
        <v>168302.2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15634.64</v>
      </c>
    </row>
    <row r="60" spans="1:36" ht="14.5">
      <c r="A60" s="18"/>
      <c r="B60" s="50">
        <v>45243</v>
      </c>
      <c r="C60" s="50">
        <v>45260</v>
      </c>
      <c r="D60" s="51" t="s">
        <v>32</v>
      </c>
      <c r="E60" s="51">
        <f t="shared" si="7"/>
        <v>598378.18999999994</v>
      </c>
      <c r="F60" s="51">
        <v>0</v>
      </c>
      <c r="G60" s="51">
        <v>147690.15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1">
        <v>450688.04</v>
      </c>
      <c r="AI60" s="51">
        <v>0</v>
      </c>
      <c r="AJ60" s="51">
        <v>0</v>
      </c>
    </row>
    <row r="61" spans="1:36" ht="14.5">
      <c r="A61" s="18"/>
      <c r="B61" s="50">
        <v>45243</v>
      </c>
      <c r="C61" s="50">
        <v>45260</v>
      </c>
      <c r="D61" s="51" t="s">
        <v>31</v>
      </c>
      <c r="E61" s="51">
        <f t="shared" si="7"/>
        <v>402405.83</v>
      </c>
      <c r="F61" s="51">
        <v>0</v>
      </c>
      <c r="G61" s="51">
        <v>222047.95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180357.88</v>
      </c>
      <c r="AI61" s="51">
        <v>0</v>
      </c>
      <c r="AJ61" s="51">
        <v>0</v>
      </c>
    </row>
    <row r="62" spans="1:36" ht="14.5">
      <c r="A62" s="18"/>
      <c r="B62" s="50">
        <v>45267</v>
      </c>
      <c r="C62" s="50">
        <v>45274</v>
      </c>
      <c r="D62" s="51" t="s">
        <v>29</v>
      </c>
      <c r="E62" s="51">
        <f t="shared" si="7"/>
        <v>4822159.3000000007</v>
      </c>
      <c r="F62" s="51">
        <v>0</v>
      </c>
      <c r="G62" s="51">
        <v>3507618.62</v>
      </c>
      <c r="H62" s="51">
        <v>0</v>
      </c>
      <c r="I62" s="51">
        <v>218996.76</v>
      </c>
      <c r="J62" s="51">
        <v>734007.69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361536.23</v>
      </c>
    </row>
    <row r="63" spans="1:36" ht="14.5">
      <c r="A63" s="18"/>
      <c r="B63" s="50">
        <v>45295</v>
      </c>
      <c r="C63" s="50">
        <v>45306</v>
      </c>
      <c r="D63" s="51" t="s">
        <v>32</v>
      </c>
      <c r="E63" s="51">
        <f t="shared" si="7"/>
        <v>278061.67000000004</v>
      </c>
      <c r="F63" s="51">
        <v>0</v>
      </c>
      <c r="G63" s="51">
        <v>248865.2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29196.47</v>
      </c>
    </row>
    <row r="64" spans="1:36" ht="14.5">
      <c r="A64" s="18"/>
      <c r="B64" s="50">
        <v>45295</v>
      </c>
      <c r="C64" s="50">
        <v>45322</v>
      </c>
      <c r="D64" s="51" t="s">
        <v>32</v>
      </c>
      <c r="E64" s="51">
        <f t="shared" ref="E64" si="8">SUM(F64:AJ64)</f>
        <v>18384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18384</v>
      </c>
      <c r="AJ64" s="51">
        <v>0</v>
      </c>
    </row>
    <row r="65" spans="1:36" ht="14.5">
      <c r="A65" s="18"/>
      <c r="B65" s="50">
        <v>45329</v>
      </c>
      <c r="C65" s="50">
        <v>45337</v>
      </c>
      <c r="D65" s="51" t="s">
        <v>32</v>
      </c>
      <c r="E65" s="51">
        <f t="shared" ref="E65:E68" si="9">SUM(F65:AJ65)</f>
        <v>18384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18384</v>
      </c>
      <c r="AJ65" s="51">
        <v>0</v>
      </c>
    </row>
    <row r="66" spans="1:36" ht="14.5">
      <c r="A66" s="18"/>
      <c r="B66" s="50">
        <v>45390</v>
      </c>
      <c r="C66" s="50">
        <v>45394</v>
      </c>
      <c r="D66" s="51" t="s">
        <v>31</v>
      </c>
      <c r="E66" s="51">
        <f t="shared" si="9"/>
        <v>313381.89999999997</v>
      </c>
      <c r="F66" s="51">
        <v>0</v>
      </c>
      <c r="G66" s="51">
        <v>242733.8</v>
      </c>
      <c r="H66" s="51">
        <v>0</v>
      </c>
      <c r="I66" s="51">
        <v>28412.44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13772.8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28462.86</v>
      </c>
    </row>
    <row r="67" spans="1:36" ht="14.5">
      <c r="A67" s="18"/>
      <c r="B67" s="50">
        <v>45390</v>
      </c>
      <c r="C67" s="50">
        <v>45427</v>
      </c>
      <c r="D67" s="51" t="s">
        <v>31</v>
      </c>
      <c r="E67" s="51">
        <f t="shared" si="9"/>
        <v>198168.08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198168.08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</row>
    <row r="68" spans="1:36" ht="14.5">
      <c r="A68" s="18"/>
      <c r="B68" s="50">
        <v>45421</v>
      </c>
      <c r="C68" s="50">
        <v>45427</v>
      </c>
      <c r="D68" s="51" t="s">
        <v>29</v>
      </c>
      <c r="E68" s="51">
        <f t="shared" si="9"/>
        <v>2345552.2400000002</v>
      </c>
      <c r="F68" s="51">
        <v>0</v>
      </c>
      <c r="G68" s="51">
        <v>1889614.34</v>
      </c>
      <c r="H68" s="51">
        <v>0</v>
      </c>
      <c r="I68" s="51">
        <v>256565.95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199371.95</v>
      </c>
    </row>
    <row r="69" spans="1:36" ht="14.5">
      <c r="A69" s="18"/>
      <c r="B69" s="50">
        <v>45390</v>
      </c>
      <c r="C69" s="50">
        <v>45460</v>
      </c>
      <c r="D69" s="51" t="s">
        <v>31</v>
      </c>
      <c r="E69" s="51">
        <f t="shared" ref="E69:E77" si="10">SUM(F69:AJ69)</f>
        <v>33200.839999999997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33200.839999999997</v>
      </c>
      <c r="AF69" s="51">
        <v>0</v>
      </c>
      <c r="AG69" s="51">
        <v>0</v>
      </c>
      <c r="AH69" s="51">
        <v>0</v>
      </c>
      <c r="AI69" s="51">
        <v>0</v>
      </c>
      <c r="AJ69" s="51">
        <v>0</v>
      </c>
    </row>
    <row r="70" spans="1:36" ht="14.5">
      <c r="A70" s="18"/>
      <c r="B70" s="50">
        <v>45470</v>
      </c>
      <c r="C70" s="50">
        <v>45485</v>
      </c>
      <c r="D70" s="51" t="s">
        <v>29</v>
      </c>
      <c r="E70" s="51">
        <f t="shared" si="10"/>
        <v>15140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>
        <v>0</v>
      </c>
      <c r="AH70" s="51">
        <v>15140</v>
      </c>
      <c r="AI70" s="51">
        <v>0</v>
      </c>
      <c r="AJ70" s="51">
        <v>0</v>
      </c>
    </row>
    <row r="71" spans="1:36" ht="14.5">
      <c r="A71" s="18"/>
      <c r="B71" s="50">
        <v>45506</v>
      </c>
      <c r="C71" s="50">
        <v>45518</v>
      </c>
      <c r="D71" s="51" t="s">
        <v>31</v>
      </c>
      <c r="E71" s="51">
        <f t="shared" si="10"/>
        <v>15140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15140</v>
      </c>
      <c r="AI71" s="51">
        <v>0</v>
      </c>
      <c r="AJ71" s="51">
        <v>0</v>
      </c>
    </row>
    <row r="72" spans="1:36" ht="14.5">
      <c r="A72" s="18"/>
      <c r="B72" s="50">
        <v>45512</v>
      </c>
      <c r="C72" s="50">
        <v>45518</v>
      </c>
      <c r="D72" s="51" t="s">
        <v>29</v>
      </c>
      <c r="E72" s="51">
        <f t="shared" si="10"/>
        <v>1215125.1599999999</v>
      </c>
      <c r="F72" s="51">
        <v>0</v>
      </c>
      <c r="G72" s="51">
        <v>0</v>
      </c>
      <c r="H72" s="51">
        <v>0</v>
      </c>
      <c r="I72" s="51">
        <v>0</v>
      </c>
      <c r="J72" s="51">
        <v>959422.59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147732.16</v>
      </c>
      <c r="AC72" s="51">
        <v>0</v>
      </c>
      <c r="AD72" s="51">
        <v>0</v>
      </c>
      <c r="AE72" s="51">
        <v>18843.72</v>
      </c>
      <c r="AF72" s="51">
        <v>0</v>
      </c>
      <c r="AG72" s="51">
        <v>0</v>
      </c>
      <c r="AH72" s="51">
        <v>0</v>
      </c>
      <c r="AI72" s="51">
        <v>0</v>
      </c>
      <c r="AJ72" s="51">
        <v>89126.69</v>
      </c>
    </row>
    <row r="73" spans="1:36" ht="14.5">
      <c r="A73" s="18"/>
      <c r="B73" s="50">
        <v>45512</v>
      </c>
      <c r="C73" s="10">
        <v>45551</v>
      </c>
      <c r="D73" s="51" t="s">
        <v>29</v>
      </c>
      <c r="E73" s="51">
        <f t="shared" si="10"/>
        <v>8840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8840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0</v>
      </c>
    </row>
    <row r="74" spans="1:36" ht="14.5">
      <c r="A74" s="18"/>
      <c r="B74" s="50">
        <v>45569</v>
      </c>
      <c r="C74" s="10">
        <v>45580</v>
      </c>
      <c r="D74" s="51" t="s">
        <v>31</v>
      </c>
      <c r="E74" s="51">
        <f t="shared" si="10"/>
        <v>1121484.7</v>
      </c>
      <c r="F74" s="51">
        <v>0</v>
      </c>
      <c r="G74" s="51">
        <v>0</v>
      </c>
      <c r="H74" s="51">
        <v>0</v>
      </c>
      <c r="I74" s="51">
        <v>0</v>
      </c>
      <c r="J74" s="51">
        <v>357872.7</v>
      </c>
      <c r="K74" s="51">
        <v>0</v>
      </c>
      <c r="L74" s="51">
        <v>0</v>
      </c>
      <c r="M74" s="51">
        <v>0</v>
      </c>
      <c r="N74" s="51">
        <v>0</v>
      </c>
      <c r="O74" s="51">
        <v>726045.25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37566.75</v>
      </c>
    </row>
    <row r="75" spans="1:36" ht="14.5">
      <c r="A75" s="18"/>
      <c r="B75" s="50">
        <v>45569</v>
      </c>
      <c r="C75" s="10">
        <v>45580</v>
      </c>
      <c r="D75" s="51" t="s">
        <v>29</v>
      </c>
      <c r="E75" s="51">
        <f t="shared" si="10"/>
        <v>926277.62999999989</v>
      </c>
      <c r="F75" s="51">
        <v>0</v>
      </c>
      <c r="G75" s="51">
        <v>0</v>
      </c>
      <c r="H75" s="51">
        <v>0</v>
      </c>
      <c r="I75" s="51">
        <v>0</v>
      </c>
      <c r="J75" s="51">
        <v>797572.97</v>
      </c>
      <c r="K75" s="51">
        <v>0</v>
      </c>
      <c r="L75" s="51">
        <v>0</v>
      </c>
      <c r="M75" s="51">
        <v>0</v>
      </c>
      <c r="N75" s="51">
        <v>0</v>
      </c>
      <c r="O75" s="51">
        <v>54613.19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74091.47</v>
      </c>
    </row>
    <row r="76" spans="1:36" ht="14.5">
      <c r="A76" s="18"/>
      <c r="B76" s="50">
        <v>45601</v>
      </c>
      <c r="C76" s="10">
        <v>45614</v>
      </c>
      <c r="D76" s="51" t="s">
        <v>29</v>
      </c>
      <c r="E76" s="51">
        <f t="shared" si="10"/>
        <v>80360.69</v>
      </c>
      <c r="F76" s="51">
        <v>0</v>
      </c>
      <c r="G76" s="51">
        <v>0</v>
      </c>
      <c r="H76" s="51">
        <v>0</v>
      </c>
      <c r="I76" s="51">
        <v>0</v>
      </c>
      <c r="J76" s="51">
        <v>73530.03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0</v>
      </c>
      <c r="Y76" s="51">
        <v>0</v>
      </c>
      <c r="Z76" s="51">
        <v>0</v>
      </c>
      <c r="AA76" s="51">
        <v>0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51">
        <v>0</v>
      </c>
      <c r="AH76" s="51">
        <v>0</v>
      </c>
      <c r="AI76" s="51">
        <v>0</v>
      </c>
      <c r="AJ76" s="51">
        <v>6830.66</v>
      </c>
    </row>
    <row r="77" spans="1:36" ht="14.5">
      <c r="A77" s="18"/>
      <c r="B77" s="61">
        <v>45693</v>
      </c>
      <c r="C77" s="61">
        <v>45705</v>
      </c>
      <c r="D77" s="51" t="s">
        <v>31</v>
      </c>
      <c r="E77" s="51">
        <f t="shared" si="10"/>
        <v>4413045.88</v>
      </c>
      <c r="F77" s="51">
        <v>0</v>
      </c>
      <c r="G77" s="51">
        <v>2129562.7400000002</v>
      </c>
      <c r="H77" s="51">
        <v>0</v>
      </c>
      <c r="I77" s="51">
        <v>0</v>
      </c>
      <c r="J77" s="51">
        <v>1864243.77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1">
        <v>0</v>
      </c>
      <c r="Z77" s="51">
        <v>0</v>
      </c>
      <c r="AA77" s="51">
        <v>0</v>
      </c>
      <c r="AB77" s="51">
        <v>0</v>
      </c>
      <c r="AC77" s="51">
        <v>0</v>
      </c>
      <c r="AD77" s="51">
        <v>0</v>
      </c>
      <c r="AE77" s="51">
        <v>0</v>
      </c>
      <c r="AF77" s="51">
        <v>0</v>
      </c>
      <c r="AG77" s="51">
        <v>0</v>
      </c>
      <c r="AH77" s="51">
        <v>0</v>
      </c>
      <c r="AI77" s="51">
        <v>0</v>
      </c>
      <c r="AJ77" s="51">
        <v>419239.37</v>
      </c>
    </row>
    <row r="78" spans="1:36" ht="14.5">
      <c r="A78" s="18"/>
      <c r="B78" s="50"/>
      <c r="C78" s="50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</row>
    <row r="79" spans="1:36" ht="15">
      <c r="A79" s="18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1"/>
    </row>
    <row r="80" spans="1:36">
      <c r="A80" s="18"/>
      <c r="B80" s="18"/>
      <c r="C80" s="18"/>
      <c r="D80" s="18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2:36" ht="20.25" customHeight="1">
      <c r="B81" s="71" t="s">
        <v>169</v>
      </c>
      <c r="C81" s="72"/>
      <c r="D81" s="72"/>
      <c r="E81" s="73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4"/>
    </row>
    <row r="82" spans="2:36" ht="20.25" customHeight="1">
      <c r="B82" s="75" t="s">
        <v>170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7"/>
    </row>
    <row r="84" spans="2:36" ht="16.5">
      <c r="B84" s="13" t="s">
        <v>212</v>
      </c>
    </row>
    <row r="87" spans="2:36">
      <c r="E87" s="33"/>
    </row>
  </sheetData>
  <mergeCells count="4">
    <mergeCell ref="B12:B13"/>
    <mergeCell ref="C12:C13"/>
    <mergeCell ref="D12:D13"/>
    <mergeCell ref="E12:E13"/>
  </mergeCells>
  <dataValidations count="1">
    <dataValidation type="list" allowBlank="1" showInputMessage="1" showErrorMessage="1" sqref="D14:D78" xr:uid="{70F67874-452B-4B60-BBF7-044A3BE130D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REA_7385</vt:lpstr>
      <vt:lpstr>REA_7408</vt:lpstr>
      <vt:lpstr>REA_7409</vt:lpstr>
      <vt:lpstr>REA_10630</vt:lpstr>
      <vt:lpstr>REA_10630_Fornecedores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Gabriela Pantoja Passos</cp:lastModifiedBy>
  <dcterms:created xsi:type="dcterms:W3CDTF">2021-07-08T14:57:01Z</dcterms:created>
  <dcterms:modified xsi:type="dcterms:W3CDTF">2025-02-25T12:23:06Z</dcterms:modified>
</cp:coreProperties>
</file>